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60" lockStructure="1"/>
  <bookViews>
    <workbookView xWindow="120" yWindow="105" windowWidth="18975" windowHeight="10425"/>
  </bookViews>
  <sheets>
    <sheet name="JB Type 1" sheetId="1" r:id="rId1"/>
    <sheet name="JB Type 2" sheetId="5" r:id="rId2"/>
    <sheet name="SF10x" sheetId="6" r:id="rId3"/>
    <sheet name="SF6x" sheetId="7" r:id="rId4"/>
    <sheet name="B1-Inlet" sheetId="8" r:id="rId5"/>
    <sheet name="2x2 Catch Basin" sheetId="9" r:id="rId6"/>
    <sheet name="SF10x SUMP" sheetId="11" r:id="rId7"/>
    <sheet name="SF6x SUMP" sheetId="10" r:id="rId8"/>
  </sheets>
  <calcPr calcId="145621"/>
</workbook>
</file>

<file path=xl/calcChain.xml><?xml version="1.0" encoding="utf-8"?>
<calcChain xmlns="http://schemas.openxmlformats.org/spreadsheetml/2006/main">
  <c r="C10" i="5" l="1"/>
  <c r="C10" i="1"/>
  <c r="C12" i="1"/>
  <c r="C11" i="1"/>
  <c r="C13" i="1"/>
  <c r="B6" i="1"/>
  <c r="B6" i="5"/>
  <c r="C11" i="5"/>
  <c r="C12" i="5"/>
  <c r="C13" i="5"/>
  <c r="B5" i="7"/>
  <c r="D18" i="7" s="1"/>
  <c r="D19" i="7" s="1"/>
  <c r="C11" i="7"/>
  <c r="C12" i="7"/>
  <c r="C13" i="7"/>
  <c r="C11" i="9"/>
  <c r="C12" i="9"/>
  <c r="C13" i="9"/>
  <c r="C10" i="9"/>
  <c r="B5" i="9"/>
  <c r="B5" i="10"/>
  <c r="B5" i="8"/>
  <c r="C11" i="8"/>
  <c r="C12" i="8"/>
  <c r="C13" i="8"/>
  <c r="C10" i="8"/>
  <c r="C11" i="10"/>
  <c r="C12" i="10"/>
  <c r="C13" i="10"/>
  <c r="E11" i="5"/>
  <c r="E12" i="5"/>
  <c r="E13" i="5"/>
  <c r="E10" i="5"/>
  <c r="E11" i="1"/>
  <c r="E12" i="1"/>
  <c r="E13" i="1"/>
  <c r="E10" i="1"/>
  <c r="D11" i="10"/>
  <c r="D12" i="10"/>
  <c r="D13" i="10"/>
  <c r="D10" i="10"/>
  <c r="E11" i="11"/>
  <c r="E12" i="11"/>
  <c r="E13" i="11"/>
  <c r="E10" i="11"/>
  <c r="D10" i="9"/>
  <c r="D11" i="9"/>
  <c r="D12" i="9"/>
  <c r="D13" i="9"/>
  <c r="E11" i="8"/>
  <c r="E12" i="8"/>
  <c r="E13" i="8"/>
  <c r="D10" i="8"/>
  <c r="D11" i="7"/>
  <c r="D12" i="7"/>
  <c r="D13" i="7"/>
  <c r="D10" i="7"/>
  <c r="E11" i="6"/>
  <c r="E12" i="6"/>
  <c r="E13" i="6"/>
  <c r="E10" i="6"/>
  <c r="D18" i="8"/>
  <c r="C4" i="8" s="1"/>
  <c r="D18" i="1"/>
  <c r="C4" i="1" s="1"/>
  <c r="D18" i="5"/>
  <c r="C4" i="5" s="1"/>
  <c r="D18" i="9"/>
  <c r="B5" i="11"/>
  <c r="B5" i="6"/>
  <c r="D18" i="6" s="1"/>
  <c r="D19" i="6" s="1"/>
  <c r="D19" i="5"/>
  <c r="D13" i="11"/>
  <c r="D12" i="11"/>
  <c r="D11" i="11"/>
  <c r="B18" i="5"/>
  <c r="B19" i="5"/>
  <c r="C19" i="5"/>
  <c r="C18" i="5"/>
  <c r="D13" i="6"/>
  <c r="D11" i="6"/>
  <c r="D12" i="6"/>
  <c r="B18" i="1"/>
  <c r="C19" i="1"/>
  <c r="C18" i="1"/>
  <c r="B19" i="1"/>
  <c r="B18" i="11"/>
  <c r="C19" i="11"/>
  <c r="B19" i="11"/>
  <c r="C18" i="11"/>
  <c r="B4" i="11"/>
  <c r="C19" i="8"/>
  <c r="C18" i="8"/>
  <c r="B19" i="8"/>
  <c r="B18" i="8"/>
  <c r="C19" i="10"/>
  <c r="B19" i="10"/>
  <c r="C18" i="10"/>
  <c r="B18" i="10"/>
  <c r="B4" i="10"/>
  <c r="D19" i="9"/>
  <c r="C19" i="9"/>
  <c r="C18" i="9"/>
  <c r="B19" i="9"/>
  <c r="B18" i="9"/>
  <c r="B4" i="9"/>
  <c r="B4" i="8"/>
  <c r="C19" i="7"/>
  <c r="C18" i="7"/>
  <c r="B19" i="7"/>
  <c r="B18" i="7"/>
  <c r="B4" i="7"/>
  <c r="C19" i="6"/>
  <c r="C18" i="6"/>
  <c r="B19" i="6"/>
  <c r="B18" i="6"/>
  <c r="B4" i="6"/>
  <c r="B4" i="5"/>
  <c r="D19" i="1"/>
  <c r="F8" i="1" s="1"/>
  <c r="B4" i="1"/>
  <c r="D14" i="6" l="1"/>
  <c r="F7" i="6" s="1"/>
  <c r="C14" i="7"/>
  <c r="F7" i="7" s="1"/>
  <c r="F8" i="6"/>
  <c r="F8" i="7"/>
  <c r="D18" i="10"/>
  <c r="D19" i="10" s="1"/>
  <c r="F8" i="10" s="1"/>
  <c r="D18" i="11"/>
  <c r="D19" i="11" s="1"/>
  <c r="F8" i="11" s="1"/>
  <c r="F8" i="5"/>
  <c r="F8" i="9"/>
  <c r="D19" i="8"/>
  <c r="F8" i="8" s="1"/>
  <c r="C14" i="10"/>
  <c r="C14" i="8"/>
  <c r="F7" i="8" s="1"/>
  <c r="C14" i="1"/>
  <c r="F7" i="1" s="1"/>
  <c r="D14" i="11"/>
  <c r="C14" i="9"/>
  <c r="F7" i="9" s="1"/>
  <c r="C14" i="5"/>
  <c r="F7" i="5" s="1"/>
  <c r="F7" i="10" l="1"/>
  <c r="F7" i="11"/>
</calcChain>
</file>

<file path=xl/sharedStrings.xml><?xml version="1.0" encoding="utf-8"?>
<sst xmlns="http://schemas.openxmlformats.org/spreadsheetml/2006/main" count="294" uniqueCount="60">
  <si>
    <t>Rim</t>
  </si>
  <si>
    <t>Invert</t>
  </si>
  <si>
    <t>Depth</t>
  </si>
  <si>
    <t>Reductions</t>
  </si>
  <si>
    <t>Total</t>
  </si>
  <si>
    <t>Item</t>
  </si>
  <si>
    <t>M6</t>
  </si>
  <si>
    <t>Rebar</t>
  </si>
  <si>
    <t>Constant</t>
  </si>
  <si>
    <t>Variable</t>
  </si>
  <si>
    <t>V</t>
  </si>
  <si>
    <t>Reduction</t>
  </si>
  <si>
    <t>M6 Conc=</t>
  </si>
  <si>
    <t>Rebar=</t>
  </si>
  <si>
    <t>Size</t>
  </si>
  <si>
    <t>Pipe Size</t>
  </si>
  <si>
    <t>CY</t>
  </si>
  <si>
    <t>LB</t>
  </si>
  <si>
    <t>Outlet</t>
  </si>
  <si>
    <t>Inlet 1</t>
  </si>
  <si>
    <t>Inlet 2</t>
  </si>
  <si>
    <t>Inlet 3</t>
  </si>
  <si>
    <t>"x" if Arched Pipe</t>
  </si>
  <si>
    <t>Arched</t>
  </si>
  <si>
    <t>Constant (M6)</t>
  </si>
  <si>
    <t>Constant (Rebar)</t>
  </si>
  <si>
    <t>Variable (M6)</t>
  </si>
  <si>
    <t>Variable (Rebar)</t>
  </si>
  <si>
    <t>SF 6x Storm Sewer Inlet</t>
  </si>
  <si>
    <t>*Max Pipe Size is 24"</t>
  </si>
  <si>
    <t>SF 10x Storm Sewer Inlet</t>
  </si>
  <si>
    <t>Storm Sewer Junction Box Type 1</t>
  </si>
  <si>
    <t>Storm Sewer Junction Box Type 2</t>
  </si>
  <si>
    <t>B1 Storm Sewer Inlet</t>
  </si>
  <si>
    <t>Grate</t>
  </si>
  <si>
    <t>*Depth varies from 2.5' to 5'</t>
  </si>
  <si>
    <t>2x2 Catch Basin with Surface Drain</t>
  </si>
  <si>
    <t>*Max Pipe Size is 18"</t>
  </si>
  <si>
    <t>SF 6x Storm Sewer Inlet - Sump Type</t>
  </si>
  <si>
    <t>SF 10x Storm Sewer Inlet - Sump Type</t>
  </si>
  <si>
    <t>Size (ft)</t>
  </si>
  <si>
    <t>*enter "4" for 4'x4' JB, "5" for 5'x5' JB</t>
  </si>
  <si>
    <t>Standard Plate 460.05</t>
  </si>
  <si>
    <t>Standard Plate 460.06</t>
  </si>
  <si>
    <t>Standard Plate 460.02</t>
  </si>
  <si>
    <t>Standard Plate 460.03</t>
  </si>
  <si>
    <t>Standard Plate 460.04</t>
  </si>
  <si>
    <t>Standard Plate 460.01</t>
  </si>
  <si>
    <t>Standard Plate 460.07</t>
  </si>
  <si>
    <t>Standard Plate 460.08</t>
  </si>
  <si>
    <t>Standard Plate 460.09</t>
  </si>
  <si>
    <t>Standard Plate 460.10</t>
  </si>
  <si>
    <t>Standard Plate 460.11</t>
  </si>
  <si>
    <t>Standard Plate 460.12</t>
  </si>
  <si>
    <t>Pipe Thickness</t>
  </si>
  <si>
    <t>Reduction If Arched</t>
  </si>
  <si>
    <t>Pipe Thickness (Arched)</t>
  </si>
  <si>
    <t>Pipe Thickness (in)</t>
  </si>
  <si>
    <t>Top of Curb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</si>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</sst>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0" borderId="5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6" fillId="0" borderId="0" xfId="0" applyFon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Alignment="1" applyProtection="1">
      <alignment horizontal="right"/>
      <protection hidden="1"/>
    </xf>
    <xf numFmtId="2" fontId="1" fillId="0" borderId="6" xfId="0" applyNumberFormat="1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2" fontId="0" fillId="0" borderId="0" xfId="0" applyNumberFormat="1" applyProtection="1">
      <protection hidden="1"/>
    </xf>
    <xf numFmtId="0" fontId="0" fillId="2" borderId="0" xfId="0" applyFill="1" applyAlignment="1" applyProtection="1">
      <alignment horizontal="center"/>
    </xf>
    <xf numFmtId="0" fontId="4" fillId="0" borderId="0" xfId="0" applyFont="1" applyProtection="1">
      <protection hidden="1"/>
    </xf>
    <xf numFmtId="0" fontId="1" fillId="0" borderId="7" xfId="0" applyFont="1" applyBorder="1" applyAlignment="1" applyProtection="1">
      <alignment horizontal="center" wrapText="1"/>
      <protection hidden="1"/>
    </xf>
    <xf numFmtId="1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4" sqref="B4"/>
    </sheetView>
  </sheetViews>
  <sheetFormatPr defaultRowHeight="15" x14ac:dyDescent="0.25"/>
  <cols>
    <col min="1" max="1" width="17.85546875" style="2" bestFit="1" customWidth="1"/>
    <col min="2" max="2" width="8.85546875" style="2" bestFit="1" customWidth="1"/>
    <col min="3" max="3" width="15.7109375" style="2" customWidth="1"/>
    <col min="4" max="4" width="10" style="2" bestFit="1" customWidth="1"/>
    <col min="5" max="5" width="9.85546875" style="2" customWidth="1"/>
    <col min="6" max="7" width="9.140625" style="2"/>
    <col min="8" max="8" width="9.140625" style="2" hidden="1" customWidth="1"/>
    <col min="9" max="9" width="10.28515625" style="2" hidden="1" customWidth="1"/>
    <col min="10" max="10" width="10" style="2" hidden="1" customWidth="1"/>
    <col min="11" max="11" width="13.85546875" style="2" hidden="1" customWidth="1"/>
    <col min="12" max="12" width="13.7109375" style="2" hidden="1" customWidth="1"/>
    <col min="13" max="13" width="14.85546875" style="2" customWidth="1"/>
    <col min="14" max="16384" width="9.140625" style="2"/>
  </cols>
  <sheetData>
    <row r="1" spans="1:13" ht="18.75" x14ac:dyDescent="0.3">
      <c r="A1" s="29" t="s">
        <v>31</v>
      </c>
      <c r="B1" s="29"/>
      <c r="C1" s="29"/>
      <c r="D1" s="29"/>
      <c r="E1" s="29"/>
      <c r="F1" s="29"/>
      <c r="G1" s="29"/>
    </row>
    <row r="2" spans="1:13" x14ac:dyDescent="0.25">
      <c r="A2" s="2" t="s">
        <v>0</v>
      </c>
      <c r="B2" s="27">
        <v>10</v>
      </c>
    </row>
    <row r="3" spans="1:13" x14ac:dyDescent="0.25">
      <c r="A3" s="2" t="s">
        <v>1</v>
      </c>
      <c r="B3" s="27">
        <v>5</v>
      </c>
    </row>
    <row r="4" spans="1:13" x14ac:dyDescent="0.25">
      <c r="A4" s="2" t="s">
        <v>2</v>
      </c>
      <c r="B4" s="3">
        <f>B2-B3</f>
        <v>5</v>
      </c>
      <c r="C4" s="4" t="str">
        <f>IF(D18&gt;8, "*Exceeds Maximum Depth*", " ")</f>
        <v xml:space="preserve"> </v>
      </c>
    </row>
    <row r="5" spans="1:13" ht="30" x14ac:dyDescent="0.25">
      <c r="A5" s="2" t="s">
        <v>40</v>
      </c>
      <c r="B5" s="28">
        <v>5</v>
      </c>
      <c r="C5" s="5" t="s">
        <v>41</v>
      </c>
      <c r="I5" s="3" t="s">
        <v>15</v>
      </c>
      <c r="J5" s="3" t="s">
        <v>11</v>
      </c>
      <c r="K5" s="6"/>
      <c r="L5" s="6" t="s">
        <v>54</v>
      </c>
      <c r="M5" s="6"/>
    </row>
    <row r="6" spans="1:13" ht="15.75" thickBot="1" x14ac:dyDescent="0.3">
      <c r="A6" s="2" t="s">
        <v>57</v>
      </c>
      <c r="B6" s="3">
        <f>VLOOKUP(B10, $I$6:$M$18, 4, FALSE)</f>
        <v>3</v>
      </c>
      <c r="E6" s="7" t="s">
        <v>42</v>
      </c>
      <c r="I6" s="3">
        <v>12</v>
      </c>
      <c r="J6" s="8">
        <v>0.03</v>
      </c>
      <c r="K6" s="8"/>
      <c r="L6" s="3">
        <v>2</v>
      </c>
      <c r="M6" s="3"/>
    </row>
    <row r="7" spans="1:13" x14ac:dyDescent="0.25">
      <c r="E7" s="9" t="s">
        <v>12</v>
      </c>
      <c r="F7" s="1">
        <f>B18+C18*D18-C14</f>
        <v>3.9400000000000004</v>
      </c>
      <c r="G7" s="10" t="s">
        <v>16</v>
      </c>
      <c r="I7" s="3">
        <v>15</v>
      </c>
      <c r="J7" s="8">
        <v>0.04</v>
      </c>
      <c r="K7" s="8"/>
      <c r="L7" s="3">
        <v>2.25</v>
      </c>
      <c r="M7" s="3"/>
    </row>
    <row r="8" spans="1:13" ht="15.75" thickBot="1" x14ac:dyDescent="0.3">
      <c r="E8" s="11" t="s">
        <v>13</v>
      </c>
      <c r="F8" s="12">
        <f>B19+C19*D19</f>
        <v>262.25</v>
      </c>
      <c r="G8" s="13" t="s">
        <v>17</v>
      </c>
      <c r="I8" s="3">
        <v>18</v>
      </c>
      <c r="J8" s="8">
        <v>0.05</v>
      </c>
      <c r="K8" s="8"/>
      <c r="L8" s="3">
        <v>2.5</v>
      </c>
      <c r="M8" s="3"/>
    </row>
    <row r="9" spans="1:13" x14ac:dyDescent="0.25">
      <c r="A9" s="14" t="s">
        <v>3</v>
      </c>
      <c r="B9" s="15" t="s">
        <v>14</v>
      </c>
      <c r="C9" s="15" t="s">
        <v>11</v>
      </c>
      <c r="I9" s="3">
        <v>21</v>
      </c>
      <c r="J9" s="8">
        <v>7.0000000000000007E-2</v>
      </c>
      <c r="K9" s="8"/>
      <c r="L9" s="3">
        <v>2.75</v>
      </c>
      <c r="M9" s="3"/>
    </row>
    <row r="10" spans="1:13" x14ac:dyDescent="0.25">
      <c r="A10" s="2" t="s">
        <v>18</v>
      </c>
      <c r="B10" s="27">
        <v>24</v>
      </c>
      <c r="C10" s="16">
        <f>IF(B10=0,0, VLOOKUP(B10, $I$6:$J$18, 2, FALSE))</f>
        <v>0.09</v>
      </c>
      <c r="E10" s="4" t="str">
        <f>IF($B$5=5, IF(B10&gt;48, "*Exceeds Maximum Pipe Size*", " "), IF(B10&gt;36, "*Exceeds Maximum Pipe Size*", " "))</f>
        <v xml:space="preserve"> </v>
      </c>
      <c r="I10" s="3">
        <v>24</v>
      </c>
      <c r="J10" s="8">
        <v>0.09</v>
      </c>
      <c r="K10" s="8"/>
      <c r="L10" s="3">
        <v>3</v>
      </c>
      <c r="M10" s="3"/>
    </row>
    <row r="11" spans="1:13" x14ac:dyDescent="0.25">
      <c r="A11" s="2" t="s">
        <v>19</v>
      </c>
      <c r="B11" s="27">
        <v>0</v>
      </c>
      <c r="C11" s="16">
        <f t="shared" ref="C11:C13" si="0">IF(B11=0,0, VLOOKUP(B11, $I$6:$J$18, 2, FALSE))</f>
        <v>0</v>
      </c>
      <c r="E11" s="4" t="str">
        <f t="shared" ref="E11:E13" si="1">IF($B$5=5, IF(B11&gt;48, "*Exceeds Maximum Pipe Size*", " "), IF(B11&gt;36, "*Exceeds Maximum Pipe Size*", " "))</f>
        <v xml:space="preserve"> </v>
      </c>
      <c r="I11" s="3">
        <v>27</v>
      </c>
      <c r="J11" s="8">
        <v>0.11</v>
      </c>
      <c r="K11" s="8"/>
      <c r="L11" s="3">
        <v>3.25</v>
      </c>
      <c r="M11" s="3"/>
    </row>
    <row r="12" spans="1:13" x14ac:dyDescent="0.25">
      <c r="A12" s="2" t="s">
        <v>20</v>
      </c>
      <c r="B12" s="27">
        <v>0</v>
      </c>
      <c r="C12" s="16">
        <f>IF(B12=0,0, VLOOKUP(B12, $I$6:$J$18, 2, FALSE))</f>
        <v>0</v>
      </c>
      <c r="E12" s="4" t="str">
        <f t="shared" si="1"/>
        <v xml:space="preserve"> </v>
      </c>
      <c r="I12" s="3">
        <v>30</v>
      </c>
      <c r="J12" s="8">
        <v>0.14000000000000001</v>
      </c>
      <c r="K12" s="8"/>
      <c r="L12" s="3">
        <v>3.5</v>
      </c>
      <c r="M12" s="3"/>
    </row>
    <row r="13" spans="1:13" x14ac:dyDescent="0.25">
      <c r="A13" s="2" t="s">
        <v>21</v>
      </c>
      <c r="B13" s="27">
        <v>0</v>
      </c>
      <c r="C13" s="16">
        <f t="shared" si="0"/>
        <v>0</v>
      </c>
      <c r="E13" s="4" t="str">
        <f t="shared" si="1"/>
        <v xml:space="preserve"> </v>
      </c>
      <c r="I13" s="3">
        <v>33</v>
      </c>
      <c r="J13" s="8">
        <v>0.17</v>
      </c>
      <c r="K13" s="8"/>
      <c r="L13" s="3">
        <v>3.75</v>
      </c>
      <c r="M13" s="3"/>
    </row>
    <row r="14" spans="1:13" x14ac:dyDescent="0.25">
      <c r="A14" s="17" t="s">
        <v>4</v>
      </c>
      <c r="B14" s="3"/>
      <c r="C14" s="18">
        <f>SUM(C10:C13)</f>
        <v>0.09</v>
      </c>
      <c r="I14" s="3">
        <v>36</v>
      </c>
      <c r="J14" s="8">
        <v>0.2</v>
      </c>
      <c r="K14" s="8"/>
      <c r="L14" s="3">
        <v>4</v>
      </c>
      <c r="M14" s="3"/>
    </row>
    <row r="15" spans="1:13" x14ac:dyDescent="0.25">
      <c r="I15" s="3">
        <v>42</v>
      </c>
      <c r="J15" s="8">
        <v>0.26</v>
      </c>
      <c r="K15" s="8"/>
      <c r="L15" s="3">
        <v>4.5</v>
      </c>
      <c r="M15" s="3"/>
    </row>
    <row r="16" spans="1:13" x14ac:dyDescent="0.25">
      <c r="I16" s="3">
        <v>48</v>
      </c>
      <c r="J16" s="8">
        <v>0.34</v>
      </c>
      <c r="K16" s="8"/>
      <c r="L16" s="3">
        <v>5</v>
      </c>
      <c r="M16" s="3"/>
    </row>
    <row r="17" spans="1:13" x14ac:dyDescent="0.25">
      <c r="A17" s="19" t="s">
        <v>5</v>
      </c>
      <c r="B17" s="15" t="s">
        <v>8</v>
      </c>
      <c r="C17" s="15" t="s">
        <v>9</v>
      </c>
      <c r="D17" s="15" t="s">
        <v>10</v>
      </c>
      <c r="I17" s="3">
        <v>54</v>
      </c>
      <c r="J17" s="8">
        <v>0.43</v>
      </c>
      <c r="K17" s="8"/>
      <c r="L17" s="3">
        <v>5.5</v>
      </c>
      <c r="M17" s="3"/>
    </row>
    <row r="18" spans="1:13" x14ac:dyDescent="0.25">
      <c r="A18" s="2" t="s">
        <v>6</v>
      </c>
      <c r="B18" s="3">
        <f>IF(B5=4, VLOOKUP(B5, H22:L23, 2, FALSE), I23)</f>
        <v>1.93</v>
      </c>
      <c r="C18" s="3">
        <f>IF(B5=4, VLOOKUP(B5, H22:L23, 4, FALSE), K23)</f>
        <v>0.56000000000000005</v>
      </c>
      <c r="D18" s="8">
        <f>B2-B3-15/12</f>
        <v>3.75</v>
      </c>
      <c r="I18" s="3">
        <v>60</v>
      </c>
      <c r="J18" s="8">
        <v>0.52</v>
      </c>
      <c r="K18" s="3"/>
      <c r="L18" s="3">
        <v>6</v>
      </c>
      <c r="M18" s="3"/>
    </row>
    <row r="19" spans="1:13" x14ac:dyDescent="0.25">
      <c r="A19" s="2" t="s">
        <v>7</v>
      </c>
      <c r="B19" s="3">
        <f>IF(B5=4, VLOOKUP(B5, H22:L23, 3, FALSE), J23)</f>
        <v>131</v>
      </c>
      <c r="C19" s="3">
        <f>IF(B5=4, VLOOKUP(B5, H22:L23, 5, FALSE), L23)</f>
        <v>35</v>
      </c>
      <c r="D19" s="8">
        <f>D18</f>
        <v>3.75</v>
      </c>
    </row>
    <row r="22" spans="1:13" x14ac:dyDescent="0.25">
      <c r="H22" s="26">
        <v>4</v>
      </c>
      <c r="I22" s="2">
        <v>1.29</v>
      </c>
      <c r="J22" s="20">
        <v>103</v>
      </c>
      <c r="K22" s="2">
        <v>0.46</v>
      </c>
      <c r="L22" s="2">
        <v>23</v>
      </c>
    </row>
    <row r="23" spans="1:13" x14ac:dyDescent="0.25">
      <c r="H23" s="26">
        <v>5</v>
      </c>
      <c r="I23" s="2">
        <v>1.93</v>
      </c>
      <c r="J23" s="20">
        <v>131</v>
      </c>
      <c r="K23" s="2">
        <v>0.56000000000000005</v>
      </c>
      <c r="L23" s="2">
        <v>35</v>
      </c>
    </row>
  </sheetData>
  <sheetProtection password="CC60" sheet="1" objects="1" scenarios="1"/>
  <protectedRanges>
    <protectedRange sqref="B10:B13" name="Range3_3"/>
    <protectedRange sqref="B2:B3" name="Range1"/>
    <protectedRange sqref="B5" name="Range2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G1"/>
    </sheetView>
  </sheetViews>
  <sheetFormatPr defaultRowHeight="15" x14ac:dyDescent="0.25"/>
  <cols>
    <col min="1" max="1" width="17.85546875" style="2" bestFit="1" customWidth="1"/>
    <col min="2" max="2" width="8.85546875" style="2" bestFit="1" customWidth="1"/>
    <col min="3" max="3" width="15.7109375" style="2" customWidth="1"/>
    <col min="4" max="4" width="10" style="2" bestFit="1" customWidth="1"/>
    <col min="5" max="5" width="9.85546875" style="2" customWidth="1"/>
    <col min="6" max="7" width="9.140625" style="2"/>
    <col min="8" max="8" width="9.140625" style="2" hidden="1" customWidth="1"/>
    <col min="9" max="9" width="10.28515625" style="2" hidden="1" customWidth="1"/>
    <col min="10" max="10" width="10" style="2" hidden="1" customWidth="1"/>
    <col min="11" max="11" width="10.5703125" style="2" hidden="1" customWidth="1"/>
    <col min="12" max="12" width="14.7109375" style="2" hidden="1" customWidth="1"/>
    <col min="13" max="13" width="14.140625" style="2" hidden="1" customWidth="1"/>
    <col min="14" max="16384" width="9.140625" style="2"/>
  </cols>
  <sheetData>
    <row r="1" spans="1:13" ht="18.75" x14ac:dyDescent="0.3">
      <c r="A1" s="29" t="s">
        <v>32</v>
      </c>
      <c r="B1" s="29"/>
      <c r="C1" s="29"/>
      <c r="D1" s="29"/>
      <c r="E1" s="29"/>
      <c r="F1" s="29"/>
      <c r="G1" s="29"/>
    </row>
    <row r="2" spans="1:13" x14ac:dyDescent="0.25">
      <c r="A2" s="2" t="s">
        <v>0</v>
      </c>
      <c r="B2" s="21">
        <v>10</v>
      </c>
    </row>
    <row r="3" spans="1:13" x14ac:dyDescent="0.25">
      <c r="A3" s="2" t="s">
        <v>1</v>
      </c>
      <c r="B3" s="21">
        <v>5</v>
      </c>
    </row>
    <row r="4" spans="1:13" x14ac:dyDescent="0.25">
      <c r="A4" s="2" t="s">
        <v>2</v>
      </c>
      <c r="B4" s="3">
        <f>B2-B3</f>
        <v>5</v>
      </c>
      <c r="C4" s="4" t="str">
        <f>IF(D18&gt;8, "*Exceeds Maximum Depth*", " ")</f>
        <v xml:space="preserve"> </v>
      </c>
    </row>
    <row r="5" spans="1:13" ht="30" customHeight="1" x14ac:dyDescent="0.25">
      <c r="A5" s="2" t="s">
        <v>40</v>
      </c>
      <c r="B5" s="21">
        <v>5</v>
      </c>
      <c r="C5" s="5" t="s">
        <v>41</v>
      </c>
      <c r="I5" s="3" t="s">
        <v>15</v>
      </c>
      <c r="J5" s="3" t="s">
        <v>11</v>
      </c>
      <c r="K5" s="6" t="s">
        <v>55</v>
      </c>
      <c r="L5" s="6" t="s">
        <v>54</v>
      </c>
      <c r="M5" s="6" t="s">
        <v>56</v>
      </c>
    </row>
    <row r="6" spans="1:13" ht="15.75" thickBot="1" x14ac:dyDescent="0.3">
      <c r="A6" s="2" t="s">
        <v>57</v>
      </c>
      <c r="B6" s="3">
        <f>VLOOKUP(B10, $I$6:$M$18, 4, FALSE)</f>
        <v>3</v>
      </c>
      <c r="E6" s="7" t="s">
        <v>43</v>
      </c>
      <c r="I6" s="3">
        <v>12</v>
      </c>
      <c r="J6" s="8">
        <v>0.03</v>
      </c>
      <c r="K6" s="3"/>
      <c r="L6" s="3">
        <v>2</v>
      </c>
      <c r="M6" s="3"/>
    </row>
    <row r="7" spans="1:13" x14ac:dyDescent="0.25">
      <c r="E7" s="9" t="s">
        <v>12</v>
      </c>
      <c r="F7" s="1">
        <f>B18+C18*D18-C14</f>
        <v>4.2200000000000006</v>
      </c>
      <c r="G7" s="10" t="s">
        <v>16</v>
      </c>
      <c r="I7" s="3">
        <v>15</v>
      </c>
      <c r="J7" s="8">
        <v>0.04</v>
      </c>
      <c r="K7" s="3"/>
      <c r="L7" s="3">
        <v>2.25</v>
      </c>
      <c r="M7" s="3">
        <v>2.25</v>
      </c>
    </row>
    <row r="8" spans="1:13" ht="15.75" thickBot="1" x14ac:dyDescent="0.3">
      <c r="E8" s="11" t="s">
        <v>13</v>
      </c>
      <c r="F8" s="12">
        <f>B19+C19*D19</f>
        <v>279.75</v>
      </c>
      <c r="G8" s="13" t="s">
        <v>17</v>
      </c>
      <c r="I8" s="3">
        <v>18</v>
      </c>
      <c r="J8" s="8">
        <v>0.05</v>
      </c>
      <c r="K8" s="3"/>
      <c r="L8" s="3">
        <v>2.5</v>
      </c>
      <c r="M8" s="3">
        <v>2.5</v>
      </c>
    </row>
    <row r="9" spans="1:13" x14ac:dyDescent="0.25">
      <c r="A9" s="14" t="s">
        <v>3</v>
      </c>
      <c r="B9" s="15" t="s">
        <v>14</v>
      </c>
      <c r="C9" s="15" t="s">
        <v>11</v>
      </c>
      <c r="I9" s="3">
        <v>21</v>
      </c>
      <c r="J9" s="8">
        <v>7.0000000000000007E-2</v>
      </c>
      <c r="K9" s="3"/>
      <c r="L9" s="3">
        <v>2.75</v>
      </c>
      <c r="M9" s="3">
        <v>2.75</v>
      </c>
    </row>
    <row r="10" spans="1:13" x14ac:dyDescent="0.25">
      <c r="A10" s="2" t="s">
        <v>18</v>
      </c>
      <c r="B10" s="21">
        <v>24</v>
      </c>
      <c r="C10" s="16">
        <f>IF(B10=0,0, VLOOKUP(B10, $I$6:$J$18, 2, FALSE))</f>
        <v>0.09</v>
      </c>
      <c r="E10" s="4" t="str">
        <f>IF($B$5=5, IF(B10&gt;48, "*Exceeds Maximum Pipe Size*", " "), IF(B10&gt;36, "*Exceeds Maximum Pipe Size*", " "))</f>
        <v xml:space="preserve"> </v>
      </c>
      <c r="I10" s="3">
        <v>24</v>
      </c>
      <c r="J10" s="8">
        <v>0.09</v>
      </c>
      <c r="K10" s="8">
        <v>0.09</v>
      </c>
      <c r="L10" s="3">
        <v>3</v>
      </c>
      <c r="M10" s="3">
        <v>3</v>
      </c>
    </row>
    <row r="11" spans="1:13" x14ac:dyDescent="0.25">
      <c r="A11" s="2" t="s">
        <v>19</v>
      </c>
      <c r="B11" s="21">
        <v>0</v>
      </c>
      <c r="C11" s="16">
        <f t="shared" ref="C11:C13" si="0">IF(B11=0,0, VLOOKUP(B11, $I$6:$J$18, 2, FALSE))</f>
        <v>0</v>
      </c>
      <c r="E11" s="4" t="str">
        <f t="shared" ref="E11:E13" si="1">IF($B$5=5, IF(B11&gt;48, "*Exceeds Maximum Pipe Size*", " "), IF(B11&gt;36, "*Exceeds Maximum Pipe Size*", " "))</f>
        <v xml:space="preserve"> </v>
      </c>
      <c r="I11" s="3">
        <v>27</v>
      </c>
      <c r="J11" s="8">
        <v>0.11</v>
      </c>
      <c r="K11" s="3"/>
      <c r="L11" s="3">
        <v>3.25</v>
      </c>
      <c r="M11" s="3"/>
    </row>
    <row r="12" spans="1:13" x14ac:dyDescent="0.25">
      <c r="A12" s="2" t="s">
        <v>20</v>
      </c>
      <c r="B12" s="21">
        <v>0</v>
      </c>
      <c r="C12" s="16">
        <f t="shared" si="0"/>
        <v>0</v>
      </c>
      <c r="E12" s="4" t="str">
        <f t="shared" si="1"/>
        <v xml:space="preserve"> </v>
      </c>
      <c r="I12" s="3">
        <v>30</v>
      </c>
      <c r="J12" s="8">
        <v>0.14000000000000001</v>
      </c>
      <c r="K12" s="8">
        <v>0.14000000000000001</v>
      </c>
      <c r="L12" s="3">
        <v>3.5</v>
      </c>
      <c r="M12" s="3">
        <v>3.5</v>
      </c>
    </row>
    <row r="13" spans="1:13" x14ac:dyDescent="0.25">
      <c r="A13" s="2" t="s">
        <v>21</v>
      </c>
      <c r="B13" s="21">
        <v>0</v>
      </c>
      <c r="C13" s="16">
        <f t="shared" si="0"/>
        <v>0</v>
      </c>
      <c r="E13" s="4" t="str">
        <f t="shared" si="1"/>
        <v xml:space="preserve"> </v>
      </c>
      <c r="I13" s="3">
        <v>33</v>
      </c>
      <c r="J13" s="8">
        <v>0.17</v>
      </c>
      <c r="K13" s="3"/>
      <c r="L13" s="3">
        <v>3.75</v>
      </c>
      <c r="M13" s="3"/>
    </row>
    <row r="14" spans="1:13" x14ac:dyDescent="0.25">
      <c r="A14" s="17" t="s">
        <v>4</v>
      </c>
      <c r="B14" s="3"/>
      <c r="C14" s="18">
        <f>SUM(C10:C13)</f>
        <v>0.09</v>
      </c>
      <c r="I14" s="3">
        <v>36</v>
      </c>
      <c r="J14" s="8">
        <v>0.2</v>
      </c>
      <c r="K14" s="8">
        <v>0.19</v>
      </c>
      <c r="L14" s="3">
        <v>4</v>
      </c>
      <c r="M14" s="3">
        <v>4</v>
      </c>
    </row>
    <row r="15" spans="1:13" x14ac:dyDescent="0.25">
      <c r="I15" s="3">
        <v>42</v>
      </c>
      <c r="J15" s="8">
        <v>0.26</v>
      </c>
      <c r="K15" s="8">
        <v>0.25</v>
      </c>
      <c r="L15" s="3">
        <v>4.5</v>
      </c>
      <c r="M15" s="3">
        <v>4.5</v>
      </c>
    </row>
    <row r="16" spans="1:13" x14ac:dyDescent="0.25">
      <c r="I16" s="3">
        <v>48</v>
      </c>
      <c r="J16" s="8">
        <v>0.34</v>
      </c>
      <c r="K16" s="8">
        <v>0.32</v>
      </c>
      <c r="L16" s="3">
        <v>5</v>
      </c>
      <c r="M16" s="3">
        <v>5</v>
      </c>
    </row>
    <row r="17" spans="1:13" x14ac:dyDescent="0.25">
      <c r="A17" s="19" t="s">
        <v>5</v>
      </c>
      <c r="B17" s="15" t="s">
        <v>8</v>
      </c>
      <c r="C17" s="15" t="s">
        <v>9</v>
      </c>
      <c r="D17" s="15" t="s">
        <v>10</v>
      </c>
      <c r="I17" s="3">
        <v>54</v>
      </c>
      <c r="J17" s="8">
        <v>0.43</v>
      </c>
      <c r="K17" s="8">
        <v>0.4</v>
      </c>
      <c r="L17" s="3">
        <v>5.5</v>
      </c>
      <c r="M17" s="3">
        <v>5.5</v>
      </c>
    </row>
    <row r="18" spans="1:13" x14ac:dyDescent="0.25">
      <c r="A18" s="2" t="s">
        <v>6</v>
      </c>
      <c r="B18" s="3">
        <f>IF(B5=4, VLOOKUP(B5, $H$21:$L$22, 2, FALSE), I22)</f>
        <v>1.93</v>
      </c>
      <c r="C18" s="3">
        <f>IF(B5=4, VLOOKUP(B5, $H$21:$L$22, 4, FALSE), K22)</f>
        <v>0.56000000000000005</v>
      </c>
      <c r="D18" s="8">
        <f>B2-B3-9/12</f>
        <v>4.25</v>
      </c>
      <c r="I18" s="3">
        <v>60</v>
      </c>
      <c r="J18" s="8">
        <v>0.52</v>
      </c>
      <c r="K18" s="3"/>
      <c r="L18" s="3">
        <v>6</v>
      </c>
      <c r="M18" s="3">
        <v>6</v>
      </c>
    </row>
    <row r="19" spans="1:13" x14ac:dyDescent="0.25">
      <c r="A19" s="2" t="s">
        <v>7</v>
      </c>
      <c r="B19" s="3">
        <f>IF(B5=4, VLOOKUP(B5, $H$21:$L$22, 3, FALSE), J22)</f>
        <v>131</v>
      </c>
      <c r="C19" s="3">
        <f>IF(B5=4, VLOOKUP(B5, $H$21:$L$22, 5, FALSE), L22)</f>
        <v>35</v>
      </c>
      <c r="D19" s="8">
        <f>D18</f>
        <v>4.25</v>
      </c>
    </row>
    <row r="21" spans="1:13" x14ac:dyDescent="0.25">
      <c r="H21" s="2">
        <v>4</v>
      </c>
      <c r="I21" s="2">
        <v>1.29</v>
      </c>
      <c r="J21" s="20">
        <v>103</v>
      </c>
      <c r="K21" s="2">
        <v>0.46</v>
      </c>
      <c r="L21" s="2">
        <v>23</v>
      </c>
    </row>
    <row r="22" spans="1:13" x14ac:dyDescent="0.25">
      <c r="H22" s="2">
        <v>5</v>
      </c>
      <c r="I22" s="2">
        <v>1.93</v>
      </c>
      <c r="J22" s="20">
        <v>131</v>
      </c>
      <c r="K22" s="2">
        <v>0.56000000000000005</v>
      </c>
      <c r="L22" s="2">
        <v>35</v>
      </c>
    </row>
  </sheetData>
  <sheetProtection password="CC60" sheet="1" objects="1" scenarios="1"/>
  <protectedRanges>
    <protectedRange sqref="B2:B3" name="Range1"/>
    <protectedRange sqref="B5" name="Range2"/>
    <protectedRange sqref="B10:B13" name="Range3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12" sqref="B12"/>
    </sheetView>
  </sheetViews>
  <sheetFormatPr defaultRowHeight="15" x14ac:dyDescent="0.25"/>
  <cols>
    <col min="1" max="1" width="17.85546875" style="2" bestFit="1" customWidth="1"/>
    <col min="2" max="2" width="8.85546875" style="2" bestFit="1" customWidth="1"/>
    <col min="3" max="3" width="15.7109375" style="2" customWidth="1"/>
    <col min="4" max="4" width="10" style="2" bestFit="1" customWidth="1"/>
    <col min="5" max="5" width="9.85546875" style="2" customWidth="1"/>
    <col min="6" max="6" width="9.5703125" style="2" bestFit="1" customWidth="1"/>
    <col min="7" max="7" width="9.140625" style="2" customWidth="1"/>
    <col min="8" max="8" width="9.140625" style="2" hidden="1" customWidth="1"/>
    <col min="9" max="9" width="10.28515625" style="2" hidden="1" customWidth="1"/>
    <col min="10" max="11" width="10" style="2" hidden="1" customWidth="1"/>
    <col min="12" max="17" width="9.140625" style="2" hidden="1" customWidth="1"/>
    <col min="18" max="18" width="14.85546875" style="2" hidden="1" customWidth="1"/>
    <col min="19" max="19" width="15.5703125" style="2" hidden="1" customWidth="1"/>
    <col min="20" max="20" width="9.140625" style="2" customWidth="1"/>
    <col min="21" max="16384" width="9.140625" style="2"/>
  </cols>
  <sheetData>
    <row r="1" spans="1:19" ht="18.75" x14ac:dyDescent="0.3">
      <c r="A1" s="29" t="s">
        <v>30</v>
      </c>
      <c r="B1" s="29"/>
      <c r="C1" s="29"/>
      <c r="D1" s="29"/>
      <c r="E1" s="29"/>
      <c r="F1" s="29"/>
      <c r="G1" s="29"/>
    </row>
    <row r="2" spans="1:19" x14ac:dyDescent="0.25">
      <c r="A2" s="2" t="s">
        <v>0</v>
      </c>
      <c r="B2" s="21">
        <v>10</v>
      </c>
    </row>
    <row r="3" spans="1:19" x14ac:dyDescent="0.25">
      <c r="A3" s="2" t="s">
        <v>1</v>
      </c>
      <c r="B3" s="21">
        <v>5</v>
      </c>
    </row>
    <row r="4" spans="1:19" ht="14.25" customHeight="1" x14ac:dyDescent="0.25">
      <c r="A4" s="2" t="s">
        <v>2</v>
      </c>
      <c r="B4" s="3">
        <f>B2-B3</f>
        <v>5</v>
      </c>
      <c r="D4" s="22"/>
      <c r="E4" s="7" t="s">
        <v>44</v>
      </c>
    </row>
    <row r="5" spans="1:19" ht="31.5" customHeight="1" x14ac:dyDescent="0.25">
      <c r="A5" s="2" t="s">
        <v>57</v>
      </c>
      <c r="B5" s="3">
        <f>IF(C10="x", VLOOKUP(B10, M6:S22, 7, FALSE), VLOOKUP(B10, M6:S22, 6, FALSE))</f>
        <v>4</v>
      </c>
      <c r="D5" s="22"/>
      <c r="E5" s="7" t="s">
        <v>45</v>
      </c>
      <c r="I5" s="2" t="s">
        <v>15</v>
      </c>
      <c r="J5" s="2" t="s">
        <v>11</v>
      </c>
      <c r="M5" s="2" t="s">
        <v>15</v>
      </c>
      <c r="N5" s="6" t="s">
        <v>24</v>
      </c>
      <c r="O5" s="6" t="s">
        <v>25</v>
      </c>
      <c r="P5" s="6" t="s">
        <v>26</v>
      </c>
      <c r="Q5" s="6" t="s">
        <v>27</v>
      </c>
      <c r="R5" s="6" t="s">
        <v>54</v>
      </c>
      <c r="S5" s="6" t="s">
        <v>56</v>
      </c>
    </row>
    <row r="6" spans="1:19" ht="15.75" thickBot="1" x14ac:dyDescent="0.3">
      <c r="B6" s="16"/>
      <c r="C6" s="5"/>
      <c r="D6" s="22"/>
      <c r="E6" s="7" t="s">
        <v>46</v>
      </c>
      <c r="I6" s="2">
        <v>12</v>
      </c>
      <c r="J6" s="20">
        <v>0.03</v>
      </c>
      <c r="K6" s="20"/>
      <c r="M6" s="2">
        <v>18</v>
      </c>
      <c r="N6" s="2">
        <v>2.75</v>
      </c>
      <c r="O6" s="2">
        <v>466</v>
      </c>
      <c r="P6" s="2">
        <v>0.49</v>
      </c>
      <c r="Q6" s="2">
        <v>68.599999999999994</v>
      </c>
      <c r="R6" s="3">
        <v>2.5</v>
      </c>
      <c r="S6" s="3">
        <v>2.5</v>
      </c>
    </row>
    <row r="7" spans="1:19" x14ac:dyDescent="0.25">
      <c r="E7" s="9" t="s">
        <v>12</v>
      </c>
      <c r="F7" s="1">
        <f>B18+C18*D18-D14</f>
        <v>5.2470833333333333</v>
      </c>
      <c r="G7" s="10" t="s">
        <v>16</v>
      </c>
      <c r="I7" s="2">
        <v>15</v>
      </c>
      <c r="J7" s="20">
        <v>0.04</v>
      </c>
      <c r="K7" s="20"/>
      <c r="M7" s="2">
        <v>21</v>
      </c>
      <c r="N7" s="2">
        <v>2.89</v>
      </c>
      <c r="O7" s="2">
        <v>476</v>
      </c>
      <c r="P7" s="2">
        <v>0.49</v>
      </c>
      <c r="Q7" s="2">
        <v>68.599999999999994</v>
      </c>
      <c r="R7" s="3">
        <v>2.75</v>
      </c>
      <c r="S7" s="3">
        <v>2.75</v>
      </c>
    </row>
    <row r="8" spans="1:19" ht="15.75" thickBot="1" x14ac:dyDescent="0.3">
      <c r="E8" s="11" t="s">
        <v>13</v>
      </c>
      <c r="F8" s="12">
        <f>B19+C19*D19</f>
        <v>809.51666666666665</v>
      </c>
      <c r="G8" s="13" t="s">
        <v>17</v>
      </c>
      <c r="I8" s="2">
        <v>18</v>
      </c>
      <c r="J8" s="20">
        <v>0.05</v>
      </c>
      <c r="K8" s="20"/>
      <c r="M8" s="2">
        <v>24</v>
      </c>
      <c r="N8" s="2">
        <v>3.03</v>
      </c>
      <c r="O8" s="2">
        <v>485</v>
      </c>
      <c r="P8" s="2">
        <v>0.49</v>
      </c>
      <c r="Q8" s="2">
        <v>68.599999999999994</v>
      </c>
      <c r="R8" s="3">
        <v>3</v>
      </c>
      <c r="S8" s="3">
        <v>3</v>
      </c>
    </row>
    <row r="9" spans="1:19" ht="30" x14ac:dyDescent="0.25">
      <c r="A9" s="14" t="s">
        <v>3</v>
      </c>
      <c r="B9" s="15" t="s">
        <v>14</v>
      </c>
      <c r="C9" s="23" t="s">
        <v>22</v>
      </c>
      <c r="D9" s="15" t="s">
        <v>11</v>
      </c>
      <c r="I9" s="2">
        <v>21</v>
      </c>
      <c r="J9" s="20">
        <v>7.0000000000000007E-2</v>
      </c>
      <c r="K9" s="20"/>
      <c r="M9" s="2">
        <v>27</v>
      </c>
      <c r="N9" s="2">
        <v>3.17</v>
      </c>
      <c r="O9" s="2">
        <v>528</v>
      </c>
      <c r="P9" s="2">
        <v>0.49</v>
      </c>
      <c r="Q9" s="2">
        <v>68.599999999999994</v>
      </c>
      <c r="R9" s="3">
        <v>3.25</v>
      </c>
      <c r="S9" s="3">
        <v>3.25</v>
      </c>
    </row>
    <row r="10" spans="1:19" x14ac:dyDescent="0.25">
      <c r="A10" s="2" t="s">
        <v>18</v>
      </c>
      <c r="B10" s="21">
        <v>36</v>
      </c>
      <c r="C10" s="21"/>
      <c r="D10" s="3" t="s">
        <v>59</v>
      </c>
      <c r="E10" s="4" t="str">
        <f>IF(B10&gt;60, "*Exceeds Maximum Pipe Size*", " ")</f>
        <v xml:space="preserve"> </v>
      </c>
      <c r="I10" s="2">
        <v>24</v>
      </c>
      <c r="J10" s="20">
        <v>0.09</v>
      </c>
      <c r="K10" s="20"/>
      <c r="M10" s="2">
        <v>30</v>
      </c>
      <c r="N10" s="2">
        <v>3.31</v>
      </c>
      <c r="O10" s="2">
        <v>538</v>
      </c>
      <c r="P10" s="2">
        <v>0.49</v>
      </c>
      <c r="Q10" s="2">
        <v>68.599999999999994</v>
      </c>
      <c r="R10" s="3">
        <v>3.5</v>
      </c>
      <c r="S10" s="3">
        <v>3.5</v>
      </c>
    </row>
    <row r="11" spans="1:19" x14ac:dyDescent="0.25">
      <c r="A11" s="2" t="s">
        <v>19</v>
      </c>
      <c r="B11" s="21">
        <v>0</v>
      </c>
      <c r="C11" s="21"/>
      <c r="D11" s="3">
        <f>IF(B11=0, 0, (IF(C11="x", VLOOKUP(B11, $I$19:$J$24, 2,FALSE), VLOOKUP(B11, $I$6:$J$18, 2, FALSE))))</f>
        <v>0</v>
      </c>
      <c r="E11" s="4" t="str">
        <f t="shared" ref="E11:E13" si="0">IF(B11&gt;60, "*Exceeds Maximum Pipe Size*", " ")</f>
        <v xml:space="preserve"> </v>
      </c>
      <c r="I11" s="2">
        <v>27</v>
      </c>
      <c r="J11" s="20">
        <v>0.11</v>
      </c>
      <c r="K11" s="20"/>
      <c r="M11" s="2">
        <v>33</v>
      </c>
      <c r="N11" s="2">
        <v>4.5599999999999996</v>
      </c>
      <c r="O11" s="2">
        <v>722</v>
      </c>
      <c r="P11" s="2">
        <v>0.55000000000000004</v>
      </c>
      <c r="Q11" s="2">
        <v>78.8</v>
      </c>
      <c r="R11" s="3">
        <v>3.75</v>
      </c>
      <c r="S11" s="3">
        <v>3.75</v>
      </c>
    </row>
    <row r="12" spans="1:19" x14ac:dyDescent="0.25">
      <c r="A12" s="2" t="s">
        <v>20</v>
      </c>
      <c r="B12" s="21">
        <v>0</v>
      </c>
      <c r="C12" s="21"/>
      <c r="D12" s="3">
        <f>IF(B12=0, 0, (IF(C12="x", VLOOKUP(B12, $I$19:$J$24, 2,FALSE), VLOOKUP(B12, $I$6:$J$18, 2, FALSE))))</f>
        <v>0</v>
      </c>
      <c r="E12" s="4" t="str">
        <f t="shared" si="0"/>
        <v xml:space="preserve"> </v>
      </c>
      <c r="I12" s="2">
        <v>30</v>
      </c>
      <c r="J12" s="20">
        <v>0.14000000000000001</v>
      </c>
      <c r="K12" s="20"/>
      <c r="M12" s="2">
        <v>36</v>
      </c>
      <c r="N12" s="2">
        <v>4.72</v>
      </c>
      <c r="O12" s="2">
        <v>734</v>
      </c>
      <c r="P12" s="2">
        <v>0.55000000000000004</v>
      </c>
      <c r="Q12" s="2">
        <v>78.8</v>
      </c>
      <c r="R12" s="3">
        <v>4</v>
      </c>
      <c r="S12" s="3">
        <v>4</v>
      </c>
    </row>
    <row r="13" spans="1:19" x14ac:dyDescent="0.25">
      <c r="A13" s="2" t="s">
        <v>21</v>
      </c>
      <c r="B13" s="21">
        <v>0</v>
      </c>
      <c r="C13" s="21"/>
      <c r="D13" s="3">
        <f>IF(B13=0, 0, (IF(C13="x", VLOOKUP(B13, $I$19:$J$24, 2,FALSE), VLOOKUP(B13, $I$6:$J$18, 2, FALSE))))</f>
        <v>0</v>
      </c>
      <c r="E13" s="4" t="str">
        <f t="shared" si="0"/>
        <v xml:space="preserve"> </v>
      </c>
      <c r="I13" s="2">
        <v>33</v>
      </c>
      <c r="J13" s="20">
        <v>0.17</v>
      </c>
      <c r="K13" s="20"/>
      <c r="M13" s="2">
        <v>42</v>
      </c>
      <c r="N13" s="2">
        <v>5.03</v>
      </c>
      <c r="O13" s="2">
        <v>793</v>
      </c>
      <c r="P13" s="2">
        <v>0.55000000000000004</v>
      </c>
      <c r="Q13" s="2">
        <v>78.8</v>
      </c>
      <c r="R13" s="3">
        <v>4.5</v>
      </c>
      <c r="S13" s="3">
        <v>4.5</v>
      </c>
    </row>
    <row r="14" spans="1:19" x14ac:dyDescent="0.25">
      <c r="A14" s="17" t="s">
        <v>4</v>
      </c>
      <c r="B14" s="3"/>
      <c r="D14" s="18">
        <f>SUM(D11:D13)</f>
        <v>0</v>
      </c>
      <c r="I14" s="2">
        <v>36</v>
      </c>
      <c r="J14" s="20">
        <v>0.2</v>
      </c>
      <c r="K14" s="20"/>
      <c r="M14" s="2">
        <v>48</v>
      </c>
      <c r="N14" s="2">
        <v>6.6</v>
      </c>
      <c r="O14" s="2">
        <v>1004</v>
      </c>
      <c r="P14" s="2">
        <v>0.6</v>
      </c>
      <c r="Q14" s="2">
        <v>89.7</v>
      </c>
      <c r="R14" s="3">
        <v>5</v>
      </c>
      <c r="S14" s="3">
        <v>5</v>
      </c>
    </row>
    <row r="15" spans="1:19" x14ac:dyDescent="0.25">
      <c r="I15" s="2">
        <v>42</v>
      </c>
      <c r="J15" s="20">
        <v>0.26</v>
      </c>
      <c r="K15" s="20"/>
      <c r="M15" s="2">
        <v>54</v>
      </c>
      <c r="N15" s="2">
        <v>6.94</v>
      </c>
      <c r="O15" s="2">
        <v>1039</v>
      </c>
      <c r="P15" s="2">
        <v>0.6</v>
      </c>
      <c r="Q15" s="2">
        <v>89.7</v>
      </c>
      <c r="R15" s="3">
        <v>5.5</v>
      </c>
      <c r="S15" s="3">
        <v>5.5</v>
      </c>
    </row>
    <row r="16" spans="1:19" x14ac:dyDescent="0.25">
      <c r="I16" s="2">
        <v>48</v>
      </c>
      <c r="J16" s="20">
        <v>0.34</v>
      </c>
      <c r="K16" s="20"/>
      <c r="M16" s="2">
        <v>60</v>
      </c>
      <c r="N16" s="2">
        <v>7.28</v>
      </c>
      <c r="O16" s="2">
        <v>1099</v>
      </c>
      <c r="P16" s="2">
        <v>0.6</v>
      </c>
      <c r="Q16" s="2">
        <v>89.7</v>
      </c>
      <c r="R16" s="3">
        <v>6</v>
      </c>
      <c r="S16" s="3">
        <v>6</v>
      </c>
    </row>
    <row r="17" spans="1:19" x14ac:dyDescent="0.25">
      <c r="A17" s="19" t="s">
        <v>5</v>
      </c>
      <c r="B17" s="15" t="s">
        <v>8</v>
      </c>
      <c r="C17" s="15" t="s">
        <v>9</v>
      </c>
      <c r="D17" s="15" t="s">
        <v>10</v>
      </c>
      <c r="I17" s="2">
        <v>54</v>
      </c>
      <c r="J17" s="20">
        <v>0.43</v>
      </c>
      <c r="K17" s="20"/>
      <c r="L17" s="2" t="s">
        <v>23</v>
      </c>
      <c r="M17" s="2">
        <v>24</v>
      </c>
      <c r="N17" s="2">
        <v>2.79</v>
      </c>
      <c r="O17" s="2">
        <v>469</v>
      </c>
      <c r="P17" s="2">
        <v>0.49</v>
      </c>
      <c r="Q17" s="2">
        <v>68.599999999999994</v>
      </c>
      <c r="R17" s="3">
        <v>3</v>
      </c>
      <c r="S17" s="3">
        <v>3</v>
      </c>
    </row>
    <row r="18" spans="1:19" x14ac:dyDescent="0.25">
      <c r="A18" s="2" t="s">
        <v>6</v>
      </c>
      <c r="B18" s="8">
        <f>IF($C$10="x", VLOOKUP($B$10, $M$17:$Q$22, 2, FALSE), VLOOKUP($B$10, $M$6:$Q$16, 2, FALSE))</f>
        <v>4.72</v>
      </c>
      <c r="C18" s="8">
        <f>IF($C$10="x", VLOOKUP($B$10, $M$17:$Q$22, 4, FALSE), VLOOKUP($B$10, $M$6:$Q$16, 4, FALSE))</f>
        <v>0.55000000000000004</v>
      </c>
      <c r="D18" s="8">
        <f>B2-B3-8.5/12-B10/12-B5/12</f>
        <v>0.9583333333333337</v>
      </c>
      <c r="I18" s="2">
        <v>60</v>
      </c>
      <c r="J18" s="20">
        <v>0.52</v>
      </c>
      <c r="K18" s="20"/>
      <c r="L18" s="2" t="s">
        <v>23</v>
      </c>
      <c r="M18" s="2">
        <v>30</v>
      </c>
      <c r="N18" s="2">
        <v>4.07</v>
      </c>
      <c r="O18" s="2">
        <v>650</v>
      </c>
      <c r="P18" s="2">
        <v>0.55000000000000004</v>
      </c>
      <c r="Q18" s="2">
        <v>78.8</v>
      </c>
      <c r="R18" s="3">
        <v>3.5</v>
      </c>
      <c r="S18" s="3">
        <v>3.5</v>
      </c>
    </row>
    <row r="19" spans="1:19" x14ac:dyDescent="0.25">
      <c r="A19" s="2" t="s">
        <v>7</v>
      </c>
      <c r="B19" s="24">
        <f>IF($C$10="x", VLOOKUP($B$10, $M$17:$Q$22, 3, FALSE), VLOOKUP($B$10, $M$6:$Q$16, 3, FALSE))</f>
        <v>734</v>
      </c>
      <c r="C19" s="8">
        <f>IF($C$10="x", VLOOKUP($B$10, $M$17:$Q$22, 5, FALSE), VLOOKUP($B$10, $M$6:$Q$16, 5, FALSE))</f>
        <v>78.8</v>
      </c>
      <c r="D19" s="8">
        <f>D18</f>
        <v>0.9583333333333337</v>
      </c>
      <c r="H19" s="2" t="s">
        <v>23</v>
      </c>
      <c r="I19" s="2">
        <v>24</v>
      </c>
      <c r="J19" s="20">
        <v>0.09</v>
      </c>
      <c r="K19" s="20"/>
      <c r="L19" s="2" t="s">
        <v>23</v>
      </c>
      <c r="M19" s="2">
        <v>36</v>
      </c>
      <c r="N19" s="2">
        <v>4.29</v>
      </c>
      <c r="O19" s="2">
        <v>700</v>
      </c>
      <c r="P19" s="2">
        <v>0.55000000000000004</v>
      </c>
      <c r="Q19" s="2">
        <v>78.8</v>
      </c>
      <c r="R19" s="3">
        <v>4</v>
      </c>
      <c r="S19" s="3">
        <v>4</v>
      </c>
    </row>
    <row r="20" spans="1:19" x14ac:dyDescent="0.25">
      <c r="H20" s="2" t="s">
        <v>23</v>
      </c>
      <c r="I20" s="2">
        <v>30</v>
      </c>
      <c r="J20" s="20">
        <v>0.14000000000000001</v>
      </c>
      <c r="K20" s="20"/>
      <c r="L20" s="2" t="s">
        <v>23</v>
      </c>
      <c r="M20" s="2">
        <v>42</v>
      </c>
      <c r="N20" s="2">
        <v>5.68</v>
      </c>
      <c r="O20" s="2">
        <v>860</v>
      </c>
      <c r="P20" s="2">
        <v>0.6</v>
      </c>
      <c r="Q20" s="2">
        <v>89.7</v>
      </c>
      <c r="R20" s="3">
        <v>4.5</v>
      </c>
      <c r="S20" s="3">
        <v>4.5</v>
      </c>
    </row>
    <row r="21" spans="1:19" x14ac:dyDescent="0.25">
      <c r="H21" s="2" t="s">
        <v>23</v>
      </c>
      <c r="I21" s="2">
        <v>36</v>
      </c>
      <c r="J21" s="20">
        <v>0.19</v>
      </c>
      <c r="K21" s="20"/>
      <c r="L21" s="2" t="s">
        <v>23</v>
      </c>
      <c r="M21" s="2">
        <v>48</v>
      </c>
      <c r="N21" s="2">
        <v>6.02</v>
      </c>
      <c r="O21" s="2">
        <v>914</v>
      </c>
      <c r="P21" s="2">
        <v>0.6</v>
      </c>
      <c r="Q21" s="2">
        <v>89.7</v>
      </c>
      <c r="R21" s="3">
        <v>5</v>
      </c>
      <c r="S21" s="3">
        <v>5</v>
      </c>
    </row>
    <row r="22" spans="1:19" x14ac:dyDescent="0.25">
      <c r="H22" s="2" t="s">
        <v>23</v>
      </c>
      <c r="I22" s="2">
        <v>42</v>
      </c>
      <c r="J22" s="20">
        <v>0.25</v>
      </c>
      <c r="K22" s="20"/>
      <c r="L22" s="2" t="s">
        <v>23</v>
      </c>
      <c r="M22" s="2">
        <v>54</v>
      </c>
      <c r="N22" s="2">
        <v>6.2</v>
      </c>
      <c r="O22" s="2">
        <v>939</v>
      </c>
      <c r="P22" s="2">
        <v>0.6</v>
      </c>
      <c r="Q22" s="2">
        <v>89.7</v>
      </c>
      <c r="R22" s="3">
        <v>5.5</v>
      </c>
      <c r="S22" s="3">
        <v>5.5</v>
      </c>
    </row>
    <row r="23" spans="1:19" x14ac:dyDescent="0.25">
      <c r="H23" s="2" t="s">
        <v>23</v>
      </c>
      <c r="I23" s="2">
        <v>48</v>
      </c>
      <c r="J23" s="20">
        <v>0.32</v>
      </c>
      <c r="K23" s="20"/>
    </row>
    <row r="24" spans="1:19" x14ac:dyDescent="0.25">
      <c r="H24" s="2" t="s">
        <v>23</v>
      </c>
      <c r="I24" s="2">
        <v>54</v>
      </c>
      <c r="J24" s="20">
        <v>0.4</v>
      </c>
      <c r="K24" s="20"/>
    </row>
  </sheetData>
  <sheetProtection password="CC60" sheet="1" objects="1" scenarios="1"/>
  <protectedRanges>
    <protectedRange sqref="B10:C13" name="Range2"/>
    <protectedRange sqref="B2:B3" name="Range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12" sqref="B12"/>
    </sheetView>
  </sheetViews>
  <sheetFormatPr defaultRowHeight="15" x14ac:dyDescent="0.25"/>
  <cols>
    <col min="1" max="1" width="17.85546875" style="2" bestFit="1" customWidth="1"/>
    <col min="2" max="2" width="8.85546875" style="2" bestFit="1" customWidth="1"/>
    <col min="3" max="3" width="15.7109375" style="2" customWidth="1"/>
    <col min="4" max="4" width="10" style="2" bestFit="1" customWidth="1"/>
    <col min="5" max="5" width="9.85546875" style="2" customWidth="1"/>
    <col min="6" max="6" width="9.5703125" style="2" bestFit="1" customWidth="1"/>
    <col min="7" max="8" width="9.140625" style="2" customWidth="1"/>
    <col min="9" max="9" width="10.28515625" style="2" hidden="1" customWidth="1"/>
    <col min="10" max="11" width="10" style="2" hidden="1" customWidth="1"/>
    <col min="12" max="17" width="9.140625" style="2" hidden="1" customWidth="1"/>
    <col min="18" max="18" width="16" style="2" hidden="1" customWidth="1"/>
    <col min="19" max="19" width="13.7109375" style="2" customWidth="1"/>
    <col min="20" max="16384" width="9.140625" style="2"/>
  </cols>
  <sheetData>
    <row r="1" spans="1:19" ht="18.75" x14ac:dyDescent="0.3">
      <c r="A1" s="29" t="s">
        <v>28</v>
      </c>
      <c r="B1" s="29"/>
      <c r="C1" s="29"/>
      <c r="D1" s="29"/>
      <c r="E1" s="29"/>
      <c r="F1" s="29"/>
      <c r="G1" s="29"/>
    </row>
    <row r="2" spans="1:19" x14ac:dyDescent="0.25">
      <c r="A2" s="2" t="s">
        <v>0</v>
      </c>
      <c r="B2" s="21">
        <v>10</v>
      </c>
      <c r="D2" s="5" t="s">
        <v>29</v>
      </c>
    </row>
    <row r="3" spans="1:19" x14ac:dyDescent="0.25">
      <c r="A3" s="2" t="s">
        <v>1</v>
      </c>
      <c r="B3" s="21">
        <v>5</v>
      </c>
    </row>
    <row r="4" spans="1:19" x14ac:dyDescent="0.25">
      <c r="A4" s="2" t="s">
        <v>2</v>
      </c>
      <c r="B4" s="3">
        <f>B2-B3</f>
        <v>5</v>
      </c>
    </row>
    <row r="5" spans="1:19" ht="30" customHeight="1" x14ac:dyDescent="0.25">
      <c r="A5" s="2" t="s">
        <v>57</v>
      </c>
      <c r="B5" s="3">
        <f>VLOOKUP(B10, L6:R8, 6, FALSE)</f>
        <v>2.5</v>
      </c>
      <c r="I5" s="2" t="s">
        <v>15</v>
      </c>
      <c r="J5" s="2" t="s">
        <v>11</v>
      </c>
      <c r="L5" s="2" t="s">
        <v>15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54</v>
      </c>
      <c r="R5" s="6" t="s">
        <v>56</v>
      </c>
    </row>
    <row r="6" spans="1:19" ht="15.75" thickBot="1" x14ac:dyDescent="0.3">
      <c r="B6" s="16"/>
      <c r="C6" s="5"/>
      <c r="D6" s="22"/>
      <c r="E6" s="7" t="s">
        <v>47</v>
      </c>
      <c r="I6" s="2">
        <v>12</v>
      </c>
      <c r="J6" s="20">
        <v>0.03</v>
      </c>
      <c r="K6" s="20"/>
      <c r="L6" s="2">
        <v>15</v>
      </c>
      <c r="M6" s="2">
        <v>1.72</v>
      </c>
      <c r="N6" s="2">
        <v>278</v>
      </c>
      <c r="O6" s="2">
        <v>0.35</v>
      </c>
      <c r="P6" s="2">
        <v>43.9</v>
      </c>
      <c r="Q6" s="3">
        <v>2.25</v>
      </c>
      <c r="R6" s="3">
        <v>2.25</v>
      </c>
    </row>
    <row r="7" spans="1:19" x14ac:dyDescent="0.25">
      <c r="E7" s="9" t="s">
        <v>12</v>
      </c>
      <c r="F7" s="1">
        <f>B18+C18*D18-C14</f>
        <v>2.7241666666666666</v>
      </c>
      <c r="G7" s="10" t="s">
        <v>16</v>
      </c>
      <c r="I7" s="2">
        <v>15</v>
      </c>
      <c r="J7" s="20">
        <v>0.04</v>
      </c>
      <c r="K7" s="20"/>
      <c r="L7" s="2">
        <v>18</v>
      </c>
      <c r="M7" s="2">
        <v>1.82</v>
      </c>
      <c r="N7" s="2">
        <v>290</v>
      </c>
      <c r="O7" s="2">
        <v>0.35</v>
      </c>
      <c r="P7" s="2">
        <v>43.9</v>
      </c>
      <c r="Q7" s="3">
        <v>2.5</v>
      </c>
      <c r="R7" s="3">
        <v>2.5</v>
      </c>
    </row>
    <row r="8" spans="1:19" ht="15.75" thickBot="1" x14ac:dyDescent="0.3">
      <c r="E8" s="11" t="s">
        <v>13</v>
      </c>
      <c r="F8" s="12">
        <f>B19+C19*D19</f>
        <v>403.4083333333333</v>
      </c>
      <c r="G8" s="13" t="s">
        <v>17</v>
      </c>
      <c r="I8" s="2">
        <v>18</v>
      </c>
      <c r="J8" s="20">
        <v>0.05</v>
      </c>
      <c r="K8" s="20"/>
      <c r="L8" s="2">
        <v>24</v>
      </c>
      <c r="M8" s="2">
        <v>2.02</v>
      </c>
      <c r="N8" s="2">
        <v>303</v>
      </c>
      <c r="O8" s="2">
        <v>0.35</v>
      </c>
      <c r="P8" s="2">
        <v>43.9</v>
      </c>
      <c r="Q8" s="3">
        <v>2.75</v>
      </c>
      <c r="R8" s="3">
        <v>2.75</v>
      </c>
    </row>
    <row r="9" spans="1:19" x14ac:dyDescent="0.25">
      <c r="A9" s="14" t="s">
        <v>3</v>
      </c>
      <c r="B9" s="15" t="s">
        <v>14</v>
      </c>
      <c r="C9" s="15" t="s">
        <v>11</v>
      </c>
      <c r="I9" s="2">
        <v>21</v>
      </c>
      <c r="J9" s="20">
        <v>7.0000000000000007E-2</v>
      </c>
      <c r="K9" s="20"/>
      <c r="R9" s="3"/>
      <c r="S9" s="3"/>
    </row>
    <row r="10" spans="1:19" x14ac:dyDescent="0.25">
      <c r="A10" s="2" t="s">
        <v>18</v>
      </c>
      <c r="B10" s="21">
        <v>18</v>
      </c>
      <c r="C10" s="3" t="s">
        <v>59</v>
      </c>
      <c r="D10" s="4" t="str">
        <f>IF(B10&gt;24, "*Exceeds Maximum Pipe Size*", " ")</f>
        <v xml:space="preserve"> </v>
      </c>
      <c r="I10" s="2">
        <v>24</v>
      </c>
      <c r="J10" s="20">
        <v>0.09</v>
      </c>
      <c r="K10" s="20"/>
      <c r="R10" s="3"/>
      <c r="S10" s="3"/>
    </row>
    <row r="11" spans="1:19" x14ac:dyDescent="0.25">
      <c r="A11" s="2" t="s">
        <v>19</v>
      </c>
      <c r="B11" s="21">
        <v>0</v>
      </c>
      <c r="C11" s="3">
        <f t="shared" ref="C11:C13" si="0">IF(B11=0, 0, VLOOKUP(B11, $I$6:$J$10, 2, FALSE))</f>
        <v>0</v>
      </c>
      <c r="D11" s="4" t="str">
        <f>IF(B11&gt;24, "*Exceeds Maximum Pipe Size*", " ")</f>
        <v xml:space="preserve"> </v>
      </c>
      <c r="J11" s="20"/>
      <c r="K11" s="20"/>
    </row>
    <row r="12" spans="1:19" x14ac:dyDescent="0.25">
      <c r="A12" s="2" t="s">
        <v>20</v>
      </c>
      <c r="B12" s="21">
        <v>0</v>
      </c>
      <c r="C12" s="3">
        <f t="shared" si="0"/>
        <v>0</v>
      </c>
      <c r="D12" s="4" t="str">
        <f>IF(B12&gt;24, "*Exceeds Maximum Pipe Size*", " ")</f>
        <v xml:space="preserve"> </v>
      </c>
      <c r="J12" s="20"/>
      <c r="K12" s="20"/>
    </row>
    <row r="13" spans="1:19" x14ac:dyDescent="0.25">
      <c r="A13" s="2" t="s">
        <v>21</v>
      </c>
      <c r="B13" s="21">
        <v>0</v>
      </c>
      <c r="C13" s="3">
        <f t="shared" si="0"/>
        <v>0</v>
      </c>
      <c r="D13" s="4" t="str">
        <f>IF(B13&gt;24, "*Exceeds Maximum Pipe Size*", " ")</f>
        <v xml:space="preserve"> </v>
      </c>
      <c r="J13" s="20"/>
      <c r="K13" s="20"/>
    </row>
    <row r="14" spans="1:19" x14ac:dyDescent="0.25">
      <c r="A14" s="17" t="s">
        <v>4</v>
      </c>
      <c r="B14" s="3"/>
      <c r="C14" s="18">
        <f>SUM(C11:C13)</f>
        <v>0</v>
      </c>
      <c r="J14" s="20"/>
      <c r="K14" s="20"/>
    </row>
    <row r="15" spans="1:19" x14ac:dyDescent="0.25">
      <c r="J15" s="20"/>
      <c r="K15" s="20"/>
    </row>
    <row r="16" spans="1:19" x14ac:dyDescent="0.25">
      <c r="J16" s="20"/>
      <c r="K16" s="20"/>
    </row>
    <row r="17" spans="1:11" x14ac:dyDescent="0.25">
      <c r="A17" s="19" t="s">
        <v>5</v>
      </c>
      <c r="B17" s="15" t="s">
        <v>8</v>
      </c>
      <c r="C17" s="15" t="s">
        <v>9</v>
      </c>
      <c r="D17" s="15" t="s">
        <v>10</v>
      </c>
      <c r="J17" s="20"/>
      <c r="K17" s="20"/>
    </row>
    <row r="18" spans="1:11" x14ac:dyDescent="0.25">
      <c r="A18" s="2" t="s">
        <v>6</v>
      </c>
      <c r="B18" s="8">
        <f>VLOOKUP($B$10, $L$6:$P$8, 2, FALSE)</f>
        <v>1.82</v>
      </c>
      <c r="C18" s="8">
        <f>VLOOKUP($B$10, $L$6:$P$8, 4, FALSE)</f>
        <v>0.35</v>
      </c>
      <c r="D18" s="8">
        <f>B2-B3-8.5/12-B10/12-B5/12</f>
        <v>2.5833333333333335</v>
      </c>
      <c r="J18" s="20"/>
      <c r="K18" s="20"/>
    </row>
    <row r="19" spans="1:11" x14ac:dyDescent="0.25">
      <c r="A19" s="2" t="s">
        <v>7</v>
      </c>
      <c r="B19" s="24">
        <f>VLOOKUP($B$10, $L$6:$P$8, 3, FALSE)</f>
        <v>290</v>
      </c>
      <c r="C19" s="25">
        <f>VLOOKUP($B$10, $L$6:$P$8, 5, FALSE)</f>
        <v>43.9</v>
      </c>
      <c r="D19" s="8">
        <f>D18</f>
        <v>2.5833333333333335</v>
      </c>
      <c r="J19" s="20"/>
      <c r="K19" s="20"/>
    </row>
    <row r="20" spans="1:11" x14ac:dyDescent="0.25">
      <c r="J20" s="20"/>
      <c r="K20" s="20"/>
    </row>
    <row r="21" spans="1:11" x14ac:dyDescent="0.25">
      <c r="J21" s="20"/>
      <c r="K21" s="20"/>
    </row>
    <row r="22" spans="1:11" x14ac:dyDescent="0.25">
      <c r="J22" s="20"/>
      <c r="K22" s="20"/>
    </row>
    <row r="23" spans="1:11" x14ac:dyDescent="0.25">
      <c r="J23" s="20"/>
      <c r="K23" s="20"/>
    </row>
    <row r="24" spans="1:11" x14ac:dyDescent="0.25">
      <c r="J24" s="20"/>
      <c r="K24" s="20"/>
    </row>
  </sheetData>
  <sheetProtection password="CC60" sheet="1" objects="1" scenarios="1"/>
  <protectedRanges>
    <protectedRange sqref="B2:B3" name="Range2"/>
    <protectedRange sqref="B10:B13" name="Range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G1"/>
    </sheetView>
  </sheetViews>
  <sheetFormatPr defaultRowHeight="15" x14ac:dyDescent="0.25"/>
  <cols>
    <col min="1" max="1" width="17.85546875" style="2" bestFit="1" customWidth="1"/>
    <col min="2" max="2" width="8.85546875" style="2" bestFit="1" customWidth="1"/>
    <col min="3" max="3" width="15.7109375" style="2" customWidth="1"/>
    <col min="4" max="4" width="10" style="2" bestFit="1" customWidth="1"/>
    <col min="5" max="5" width="9.85546875" style="2" customWidth="1"/>
    <col min="6" max="6" width="9.5703125" style="2" bestFit="1" customWidth="1"/>
    <col min="7" max="8" width="9.140625" style="2" customWidth="1"/>
    <col min="9" max="9" width="10.28515625" style="2" hidden="1" customWidth="1"/>
    <col min="10" max="11" width="10" style="2" hidden="1" customWidth="1"/>
    <col min="12" max="16" width="9.140625" style="2" hidden="1" customWidth="1"/>
    <col min="17" max="17" width="12" style="2" hidden="1" customWidth="1"/>
    <col min="18" max="18" width="14.28515625" style="2" customWidth="1"/>
    <col min="19" max="16384" width="9.140625" style="2"/>
  </cols>
  <sheetData>
    <row r="1" spans="1:19" ht="18.75" x14ac:dyDescent="0.3">
      <c r="A1" s="29" t="s">
        <v>33</v>
      </c>
      <c r="B1" s="29"/>
      <c r="C1" s="29"/>
      <c r="D1" s="29"/>
      <c r="E1" s="29"/>
      <c r="F1" s="29"/>
      <c r="G1" s="29"/>
    </row>
    <row r="2" spans="1:19" x14ac:dyDescent="0.25">
      <c r="A2" s="2" t="s">
        <v>58</v>
      </c>
      <c r="B2" s="21">
        <v>10</v>
      </c>
      <c r="D2" s="5" t="s">
        <v>29</v>
      </c>
    </row>
    <row r="3" spans="1:19" x14ac:dyDescent="0.25">
      <c r="A3" s="2" t="s">
        <v>1</v>
      </c>
      <c r="B3" s="21">
        <v>5</v>
      </c>
      <c r="D3" s="5" t="s">
        <v>35</v>
      </c>
    </row>
    <row r="4" spans="1:19" x14ac:dyDescent="0.25">
      <c r="A4" s="2" t="s">
        <v>2</v>
      </c>
      <c r="B4" s="3">
        <f>B2-B3</f>
        <v>5</v>
      </c>
      <c r="C4" s="4" t="str">
        <f>IF(D18&gt;5, "*Exceeds Maximum Depth*", " ")</f>
        <v xml:space="preserve"> </v>
      </c>
    </row>
    <row r="5" spans="1:19" ht="30" customHeight="1" x14ac:dyDescent="0.25">
      <c r="A5" s="2" t="s">
        <v>57</v>
      </c>
      <c r="B5" s="3">
        <f>VLOOKUP(B10, L6:R9, 6, FALSE)</f>
        <v>3</v>
      </c>
      <c r="I5" s="2" t="s">
        <v>15</v>
      </c>
      <c r="J5" s="2" t="s">
        <v>11</v>
      </c>
      <c r="L5" s="2" t="s">
        <v>15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54</v>
      </c>
      <c r="R5" s="6"/>
    </row>
    <row r="6" spans="1:19" ht="15.75" thickBot="1" x14ac:dyDescent="0.3">
      <c r="B6" s="16"/>
      <c r="C6" s="5"/>
      <c r="D6" s="22"/>
      <c r="E6" s="7" t="s">
        <v>48</v>
      </c>
      <c r="I6" s="2">
        <v>12</v>
      </c>
      <c r="J6" s="20">
        <v>0.03</v>
      </c>
      <c r="K6" s="20"/>
      <c r="L6" s="2">
        <v>12</v>
      </c>
      <c r="M6" s="2">
        <v>0.27</v>
      </c>
      <c r="N6" s="2">
        <v>28</v>
      </c>
      <c r="O6" s="2">
        <v>0.32</v>
      </c>
      <c r="P6" s="2">
        <v>0</v>
      </c>
      <c r="Q6" s="3">
        <v>2</v>
      </c>
      <c r="R6" s="3"/>
    </row>
    <row r="7" spans="1:19" x14ac:dyDescent="0.25">
      <c r="E7" s="9" t="s">
        <v>12</v>
      </c>
      <c r="F7" s="1">
        <f>B18+C18*D18-C14</f>
        <v>1.5133333333333334</v>
      </c>
      <c r="G7" s="10" t="s">
        <v>16</v>
      </c>
      <c r="I7" s="2">
        <v>15</v>
      </c>
      <c r="J7" s="20">
        <v>0.04</v>
      </c>
      <c r="K7" s="20"/>
      <c r="L7" s="2">
        <v>15</v>
      </c>
      <c r="M7" s="2">
        <v>0.27</v>
      </c>
      <c r="N7" s="2">
        <v>28</v>
      </c>
      <c r="O7" s="2">
        <v>0.32</v>
      </c>
      <c r="P7" s="2">
        <v>0</v>
      </c>
      <c r="Q7" s="3">
        <v>2.25</v>
      </c>
      <c r="R7" s="3"/>
    </row>
    <row r="8" spans="1:19" ht="15.75" thickBot="1" x14ac:dyDescent="0.3">
      <c r="E8" s="11" t="s">
        <v>13</v>
      </c>
      <c r="F8" s="12">
        <f>B19+C19*D19</f>
        <v>28</v>
      </c>
      <c r="G8" s="13" t="s">
        <v>17</v>
      </c>
      <c r="I8" s="2">
        <v>18</v>
      </c>
      <c r="J8" s="20">
        <v>0.05</v>
      </c>
      <c r="K8" s="20"/>
      <c r="L8" s="2">
        <v>18</v>
      </c>
      <c r="M8" s="2">
        <v>0.27</v>
      </c>
      <c r="N8" s="2">
        <v>28</v>
      </c>
      <c r="O8" s="2">
        <v>0.32</v>
      </c>
      <c r="P8" s="2">
        <v>0</v>
      </c>
      <c r="Q8" s="3">
        <v>2.5</v>
      </c>
      <c r="R8" s="3"/>
    </row>
    <row r="9" spans="1:19" x14ac:dyDescent="0.25">
      <c r="A9" s="14" t="s">
        <v>3</v>
      </c>
      <c r="B9" s="15" t="s">
        <v>14</v>
      </c>
      <c r="C9" s="15" t="s">
        <v>11</v>
      </c>
      <c r="I9" s="2">
        <v>21</v>
      </c>
      <c r="J9" s="20">
        <v>7.0000000000000007E-2</v>
      </c>
      <c r="K9" s="20"/>
      <c r="L9" s="2">
        <v>24</v>
      </c>
      <c r="M9" s="2">
        <v>0.27</v>
      </c>
      <c r="N9" s="2">
        <v>28</v>
      </c>
      <c r="O9" s="2">
        <v>0.32</v>
      </c>
      <c r="P9" s="2">
        <v>0</v>
      </c>
      <c r="Q9" s="3">
        <v>3</v>
      </c>
      <c r="R9" s="3"/>
    </row>
    <row r="10" spans="1:19" x14ac:dyDescent="0.25">
      <c r="A10" s="2" t="s">
        <v>18</v>
      </c>
      <c r="B10" s="21">
        <v>24</v>
      </c>
      <c r="C10" s="3">
        <f>IF(B10=0, 0, VLOOKUP(B10, $I$6:$J$10, 2, FALSE))</f>
        <v>0.09</v>
      </c>
      <c r="D10" s="4" t="str">
        <f>IF(B10&gt;24, "*Exceeds Maximum Pipe Size*", " ")</f>
        <v xml:space="preserve"> </v>
      </c>
      <c r="I10" s="2">
        <v>24</v>
      </c>
      <c r="J10" s="20">
        <v>0.09</v>
      </c>
      <c r="K10" s="20"/>
      <c r="R10" s="3"/>
      <c r="S10" s="3"/>
    </row>
    <row r="11" spans="1:19" x14ac:dyDescent="0.25">
      <c r="A11" s="2" t="s">
        <v>19</v>
      </c>
      <c r="B11" s="21">
        <v>0</v>
      </c>
      <c r="C11" s="3">
        <f t="shared" ref="C11:C13" si="0">IF(B11=0, 0, VLOOKUP(B11, $I$6:$J$10, 2, FALSE))</f>
        <v>0</v>
      </c>
      <c r="E11" s="4" t="str">
        <f t="shared" ref="E11:E13" si="1">IF(B11&gt;24, "*Exceeds Maximum Pipe Size*", " ")</f>
        <v xml:space="preserve"> </v>
      </c>
      <c r="J11" s="20"/>
      <c r="K11" s="20"/>
    </row>
    <row r="12" spans="1:19" x14ac:dyDescent="0.25">
      <c r="A12" s="2" t="s">
        <v>20</v>
      </c>
      <c r="B12" s="21">
        <v>0</v>
      </c>
      <c r="C12" s="3">
        <f t="shared" si="0"/>
        <v>0</v>
      </c>
      <c r="E12" s="4" t="str">
        <f t="shared" si="1"/>
        <v xml:space="preserve"> </v>
      </c>
      <c r="J12" s="20"/>
      <c r="K12" s="20"/>
    </row>
    <row r="13" spans="1:19" x14ac:dyDescent="0.25">
      <c r="A13" s="2" t="s">
        <v>21</v>
      </c>
      <c r="B13" s="21">
        <v>0</v>
      </c>
      <c r="C13" s="3">
        <f t="shared" si="0"/>
        <v>0</v>
      </c>
      <c r="E13" s="4" t="str">
        <f t="shared" si="1"/>
        <v xml:space="preserve"> </v>
      </c>
      <c r="J13" s="20"/>
      <c r="K13" s="20"/>
    </row>
    <row r="14" spans="1:19" x14ac:dyDescent="0.25">
      <c r="A14" s="17" t="s">
        <v>4</v>
      </c>
      <c r="B14" s="3"/>
      <c r="C14" s="18">
        <f>SUM(C10:C13)</f>
        <v>0.09</v>
      </c>
      <c r="J14" s="20"/>
      <c r="K14" s="20"/>
    </row>
    <row r="15" spans="1:19" x14ac:dyDescent="0.25">
      <c r="J15" s="20"/>
      <c r="K15" s="20"/>
    </row>
    <row r="16" spans="1:19" x14ac:dyDescent="0.25">
      <c r="J16" s="20"/>
      <c r="K16" s="20"/>
    </row>
    <row r="17" spans="1:11" x14ac:dyDescent="0.25">
      <c r="A17" s="19" t="s">
        <v>5</v>
      </c>
      <c r="B17" s="15" t="s">
        <v>8</v>
      </c>
      <c r="C17" s="15" t="s">
        <v>9</v>
      </c>
      <c r="D17" s="15" t="s">
        <v>10</v>
      </c>
      <c r="J17" s="20"/>
      <c r="K17" s="20"/>
    </row>
    <row r="18" spans="1:11" x14ac:dyDescent="0.25">
      <c r="A18" s="2" t="s">
        <v>6</v>
      </c>
      <c r="B18" s="8">
        <f>VLOOKUP($B$10, $L$6:$P$9, 2, FALSE)</f>
        <v>0.27</v>
      </c>
      <c r="C18" s="8">
        <f>VLOOKUP($B$10, $L$6:$P$9, 4, FALSE)</f>
        <v>0.32</v>
      </c>
      <c r="D18" s="8">
        <f>B2-B3-10/12</f>
        <v>4.166666666666667</v>
      </c>
      <c r="J18" s="20"/>
      <c r="K18" s="20"/>
    </row>
    <row r="19" spans="1:11" x14ac:dyDescent="0.25">
      <c r="A19" s="2" t="s">
        <v>7</v>
      </c>
      <c r="B19" s="24">
        <f>VLOOKUP($B$10, $L$6:$P$9, 3, FALSE)</f>
        <v>28</v>
      </c>
      <c r="C19" s="25">
        <f>VLOOKUP($B$10, $L$6:$P$9, 5, FALSE)</f>
        <v>0</v>
      </c>
      <c r="D19" s="8">
        <f>D18</f>
        <v>4.166666666666667</v>
      </c>
      <c r="J19" s="20"/>
      <c r="K19" s="20"/>
    </row>
    <row r="20" spans="1:11" x14ac:dyDescent="0.25">
      <c r="J20" s="20"/>
      <c r="K20" s="20"/>
    </row>
    <row r="21" spans="1:11" x14ac:dyDescent="0.25">
      <c r="J21" s="20"/>
      <c r="K21" s="20"/>
    </row>
    <row r="22" spans="1:11" x14ac:dyDescent="0.25">
      <c r="J22" s="20"/>
      <c r="K22" s="20"/>
    </row>
    <row r="23" spans="1:11" x14ac:dyDescent="0.25">
      <c r="J23" s="20"/>
      <c r="K23" s="20"/>
    </row>
    <row r="24" spans="1:11" x14ac:dyDescent="0.25">
      <c r="J24" s="20"/>
      <c r="K24" s="20"/>
    </row>
  </sheetData>
  <sheetProtection password="CC60" sheet="1" objects="1" scenarios="1"/>
  <protectedRanges>
    <protectedRange sqref="B2:B3" name="Range2"/>
    <protectedRange sqref="B10:B13" name="Range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G1"/>
    </sheetView>
  </sheetViews>
  <sheetFormatPr defaultRowHeight="15" x14ac:dyDescent="0.25"/>
  <cols>
    <col min="1" max="1" width="17.85546875" style="2" bestFit="1" customWidth="1"/>
    <col min="2" max="2" width="8.85546875" style="2" bestFit="1" customWidth="1"/>
    <col min="3" max="3" width="15.7109375" style="2" customWidth="1"/>
    <col min="4" max="4" width="10" style="2" bestFit="1" customWidth="1"/>
    <col min="5" max="5" width="9.85546875" style="2" customWidth="1"/>
    <col min="6" max="6" width="9.5703125" style="2" bestFit="1" customWidth="1"/>
    <col min="7" max="8" width="9.140625" style="2" customWidth="1"/>
    <col min="9" max="9" width="10.28515625" style="2" hidden="1" customWidth="1"/>
    <col min="10" max="11" width="10" style="2" hidden="1" customWidth="1"/>
    <col min="12" max="16" width="9.140625" style="2" hidden="1" customWidth="1"/>
    <col min="17" max="17" width="11.85546875" style="2" hidden="1" customWidth="1"/>
    <col min="18" max="18" width="14.28515625" style="2" customWidth="1"/>
    <col min="19" max="16384" width="9.140625" style="2"/>
  </cols>
  <sheetData>
    <row r="1" spans="1:19" ht="18.75" x14ac:dyDescent="0.3">
      <c r="A1" s="29" t="s">
        <v>36</v>
      </c>
      <c r="B1" s="29"/>
      <c r="C1" s="29"/>
      <c r="D1" s="29"/>
      <c r="E1" s="29"/>
      <c r="F1" s="29"/>
      <c r="G1" s="29"/>
    </row>
    <row r="2" spans="1:19" x14ac:dyDescent="0.25">
      <c r="A2" s="2" t="s">
        <v>34</v>
      </c>
      <c r="B2" s="21">
        <v>10</v>
      </c>
      <c r="D2" s="5" t="s">
        <v>37</v>
      </c>
    </row>
    <row r="3" spans="1:19" x14ac:dyDescent="0.25">
      <c r="A3" s="2" t="s">
        <v>1</v>
      </c>
      <c r="B3" s="21">
        <v>5</v>
      </c>
      <c r="D3" s="5"/>
    </row>
    <row r="4" spans="1:19" x14ac:dyDescent="0.25">
      <c r="A4" s="2" t="s">
        <v>2</v>
      </c>
      <c r="B4" s="3">
        <f>B2-B3</f>
        <v>5</v>
      </c>
    </row>
    <row r="5" spans="1:19" ht="30" customHeight="1" x14ac:dyDescent="0.25">
      <c r="A5" s="2" t="s">
        <v>57</v>
      </c>
      <c r="B5" s="3">
        <f>VLOOKUP(B10, L6:R9, 6, FALSE)</f>
        <v>2.5</v>
      </c>
      <c r="I5" s="2" t="s">
        <v>15</v>
      </c>
      <c r="J5" s="2" t="s">
        <v>11</v>
      </c>
      <c r="L5" s="2" t="s">
        <v>15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54</v>
      </c>
      <c r="R5" s="6"/>
    </row>
    <row r="6" spans="1:19" ht="15.75" thickBot="1" x14ac:dyDescent="0.3">
      <c r="B6" s="16"/>
      <c r="C6" s="5"/>
      <c r="D6" s="22"/>
      <c r="E6" s="7" t="s">
        <v>49</v>
      </c>
      <c r="I6" s="2">
        <v>12</v>
      </c>
      <c r="J6" s="20">
        <v>0.03</v>
      </c>
      <c r="K6" s="20"/>
      <c r="L6" s="2">
        <v>12</v>
      </c>
      <c r="M6" s="2">
        <v>0.17</v>
      </c>
      <c r="N6" s="2">
        <v>16</v>
      </c>
      <c r="O6" s="2">
        <v>0.19</v>
      </c>
      <c r="P6" s="2">
        <v>0</v>
      </c>
      <c r="Q6" s="3">
        <v>2</v>
      </c>
      <c r="R6" s="3"/>
    </row>
    <row r="7" spans="1:19" x14ac:dyDescent="0.25">
      <c r="E7" s="9" t="s">
        <v>12</v>
      </c>
      <c r="F7" s="1">
        <f>B18+C18*D18-C14</f>
        <v>1.0699999999999998</v>
      </c>
      <c r="G7" s="10" t="s">
        <v>16</v>
      </c>
      <c r="I7" s="2">
        <v>15</v>
      </c>
      <c r="J7" s="20">
        <v>0.04</v>
      </c>
      <c r="K7" s="20"/>
      <c r="L7" s="2">
        <v>15</v>
      </c>
      <c r="M7" s="2">
        <v>0.17</v>
      </c>
      <c r="N7" s="2">
        <v>16</v>
      </c>
      <c r="O7" s="2">
        <v>0.19</v>
      </c>
      <c r="P7" s="2">
        <v>0</v>
      </c>
      <c r="Q7" s="3">
        <v>2.25</v>
      </c>
      <c r="R7" s="3"/>
    </row>
    <row r="8" spans="1:19" ht="15.75" thickBot="1" x14ac:dyDescent="0.3">
      <c r="E8" s="11" t="s">
        <v>13</v>
      </c>
      <c r="F8" s="12">
        <f>B19+C19*D19</f>
        <v>16</v>
      </c>
      <c r="G8" s="13" t="s">
        <v>17</v>
      </c>
      <c r="I8" s="2">
        <v>18</v>
      </c>
      <c r="J8" s="20">
        <v>0.05</v>
      </c>
      <c r="K8" s="20"/>
      <c r="L8" s="2">
        <v>18</v>
      </c>
      <c r="M8" s="2">
        <v>0.17</v>
      </c>
      <c r="N8" s="2">
        <v>16</v>
      </c>
      <c r="O8" s="2">
        <v>0.19</v>
      </c>
      <c r="P8" s="2">
        <v>0</v>
      </c>
      <c r="Q8" s="3">
        <v>2.5</v>
      </c>
      <c r="R8" s="3"/>
    </row>
    <row r="9" spans="1:19" x14ac:dyDescent="0.25">
      <c r="A9" s="14" t="s">
        <v>3</v>
      </c>
      <c r="B9" s="15" t="s">
        <v>14</v>
      </c>
      <c r="C9" s="15" t="s">
        <v>11</v>
      </c>
      <c r="J9" s="20"/>
      <c r="K9" s="20"/>
      <c r="R9" s="3"/>
      <c r="S9" s="3"/>
    </row>
    <row r="10" spans="1:19" x14ac:dyDescent="0.25">
      <c r="A10" s="2" t="s">
        <v>18</v>
      </c>
      <c r="B10" s="21">
        <v>18</v>
      </c>
      <c r="C10" s="3">
        <f>IF(B10=0, 0,VLOOKUP(B10, $I$6:$J$8, 2, FALSE))</f>
        <v>0.05</v>
      </c>
      <c r="D10" s="4" t="str">
        <f>IF(B10&gt;18, "*Exceeds Maximum Pipe Size*", " ")</f>
        <v xml:space="preserve"> </v>
      </c>
      <c r="J10" s="20"/>
      <c r="K10" s="20"/>
    </row>
    <row r="11" spans="1:19" x14ac:dyDescent="0.25">
      <c r="A11" s="2" t="s">
        <v>19</v>
      </c>
      <c r="B11" s="21">
        <v>0</v>
      </c>
      <c r="C11" s="3">
        <f t="shared" ref="C11:C13" si="0">IF(B11=0, 0,VLOOKUP(B11, $I$6:$J$8, 2, FALSE))</f>
        <v>0</v>
      </c>
      <c r="D11" s="4" t="str">
        <f>IF(B11&gt;18, "*Exceeds Maximum Pipe Size*", " ")</f>
        <v xml:space="preserve"> </v>
      </c>
      <c r="J11" s="20"/>
      <c r="K11" s="20"/>
    </row>
    <row r="12" spans="1:19" x14ac:dyDescent="0.25">
      <c r="A12" s="2" t="s">
        <v>20</v>
      </c>
      <c r="B12" s="21">
        <v>0</v>
      </c>
      <c r="C12" s="3">
        <f t="shared" si="0"/>
        <v>0</v>
      </c>
      <c r="D12" s="4" t="str">
        <f>IF(B12&gt;18, "*Exceeds Maximum Pipe Size*", " ")</f>
        <v xml:space="preserve"> </v>
      </c>
      <c r="J12" s="20"/>
      <c r="K12" s="20"/>
    </row>
    <row r="13" spans="1:19" x14ac:dyDescent="0.25">
      <c r="A13" s="2" t="s">
        <v>21</v>
      </c>
      <c r="B13" s="21">
        <v>0</v>
      </c>
      <c r="C13" s="3">
        <f t="shared" si="0"/>
        <v>0</v>
      </c>
      <c r="D13" s="4" t="str">
        <f>IF(B13&gt;18, "*Exceeds Maximum Pipe Size*", " ")</f>
        <v xml:space="preserve"> </v>
      </c>
      <c r="J13" s="20"/>
      <c r="K13" s="20"/>
    </row>
    <row r="14" spans="1:19" x14ac:dyDescent="0.25">
      <c r="A14" s="17" t="s">
        <v>4</v>
      </c>
      <c r="B14" s="3"/>
      <c r="C14" s="18">
        <f>SUM(C10:C13)</f>
        <v>0.05</v>
      </c>
      <c r="J14" s="20"/>
      <c r="K14" s="20"/>
    </row>
    <row r="15" spans="1:19" x14ac:dyDescent="0.25">
      <c r="J15" s="20"/>
      <c r="K15" s="20"/>
    </row>
    <row r="16" spans="1:19" x14ac:dyDescent="0.25">
      <c r="J16" s="20"/>
      <c r="K16" s="20"/>
    </row>
    <row r="17" spans="1:11" x14ac:dyDescent="0.25">
      <c r="A17" s="19" t="s">
        <v>5</v>
      </c>
      <c r="B17" s="15" t="s">
        <v>8</v>
      </c>
      <c r="C17" s="15" t="s">
        <v>9</v>
      </c>
      <c r="D17" s="15" t="s">
        <v>10</v>
      </c>
      <c r="J17" s="20"/>
      <c r="K17" s="20"/>
    </row>
    <row r="18" spans="1:11" x14ac:dyDescent="0.25">
      <c r="A18" s="2" t="s">
        <v>6</v>
      </c>
      <c r="B18" s="8">
        <f>VLOOKUP($B$10, $L$6:$P$8, 2, FALSE)</f>
        <v>0.17</v>
      </c>
      <c r="C18" s="8">
        <f>VLOOKUP($B$10, $L$6:$P$8, 4, FALSE)</f>
        <v>0.19</v>
      </c>
      <c r="D18" s="8">
        <f>B2-B3</f>
        <v>5</v>
      </c>
      <c r="J18" s="20"/>
      <c r="K18" s="20"/>
    </row>
    <row r="19" spans="1:11" x14ac:dyDescent="0.25">
      <c r="A19" s="2" t="s">
        <v>7</v>
      </c>
      <c r="B19" s="8">
        <f>VLOOKUP($B$10, $L$6:$P$8, 3, FALSE)</f>
        <v>16</v>
      </c>
      <c r="C19" s="8">
        <f>VLOOKUP($B$10, $L$6:$P$8, 5, FALSE)</f>
        <v>0</v>
      </c>
      <c r="D19" s="8">
        <f>D18</f>
        <v>5</v>
      </c>
      <c r="J19" s="20"/>
      <c r="K19" s="20"/>
    </row>
    <row r="20" spans="1:11" x14ac:dyDescent="0.25">
      <c r="J20" s="20"/>
      <c r="K20" s="20"/>
    </row>
    <row r="21" spans="1:11" x14ac:dyDescent="0.25">
      <c r="J21" s="20"/>
      <c r="K21" s="20"/>
    </row>
    <row r="22" spans="1:11" x14ac:dyDescent="0.25">
      <c r="J22" s="20"/>
      <c r="K22" s="20"/>
    </row>
    <row r="23" spans="1:11" x14ac:dyDescent="0.25">
      <c r="J23" s="20"/>
      <c r="K23" s="20"/>
    </row>
    <row r="24" spans="1:11" x14ac:dyDescent="0.25">
      <c r="J24" s="20"/>
      <c r="K24" s="20"/>
    </row>
  </sheetData>
  <sheetProtection password="CC60" sheet="1" objects="1" scenarios="1"/>
  <protectedRanges>
    <protectedRange sqref="B2:B3" name="Range2"/>
    <protectedRange sqref="B10:B13" name="Range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G1"/>
    </sheetView>
  </sheetViews>
  <sheetFormatPr defaultRowHeight="15" x14ac:dyDescent="0.25"/>
  <cols>
    <col min="1" max="1" width="17.85546875" style="2" bestFit="1" customWidth="1"/>
    <col min="2" max="2" width="8.85546875" style="2" bestFit="1" customWidth="1"/>
    <col min="3" max="3" width="15.7109375" style="2" customWidth="1"/>
    <col min="4" max="4" width="10" style="2" bestFit="1" customWidth="1"/>
    <col min="5" max="5" width="9.85546875" style="2" customWidth="1"/>
    <col min="6" max="6" width="9.5703125" style="2" bestFit="1" customWidth="1"/>
    <col min="7" max="7" width="9.140625" style="2" customWidth="1"/>
    <col min="8" max="8" width="9.140625" style="2" hidden="1" customWidth="1"/>
    <col min="9" max="9" width="10.28515625" style="2" hidden="1" customWidth="1"/>
    <col min="10" max="11" width="10" style="2" hidden="1" customWidth="1"/>
    <col min="12" max="17" width="9.140625" style="2" hidden="1" customWidth="1"/>
    <col min="18" max="18" width="12.7109375" style="2" hidden="1" customWidth="1"/>
    <col min="19" max="19" width="14.42578125" style="2" hidden="1" customWidth="1"/>
    <col min="20" max="16384" width="9.140625" style="2"/>
  </cols>
  <sheetData>
    <row r="1" spans="1:19" ht="18.75" x14ac:dyDescent="0.3">
      <c r="A1" s="29" t="s">
        <v>39</v>
      </c>
      <c r="B1" s="29"/>
      <c r="C1" s="29"/>
      <c r="D1" s="29"/>
      <c r="E1" s="29"/>
      <c r="F1" s="29"/>
      <c r="G1" s="29"/>
    </row>
    <row r="2" spans="1:19" x14ac:dyDescent="0.25">
      <c r="A2" s="2" t="s">
        <v>0</v>
      </c>
      <c r="B2" s="21">
        <v>10</v>
      </c>
    </row>
    <row r="3" spans="1:19" x14ac:dyDescent="0.25">
      <c r="A3" s="2" t="s">
        <v>1</v>
      </c>
      <c r="B3" s="21">
        <v>5</v>
      </c>
    </row>
    <row r="4" spans="1:19" x14ac:dyDescent="0.25">
      <c r="A4" s="2" t="s">
        <v>2</v>
      </c>
      <c r="B4" s="3">
        <f>B2-B3</f>
        <v>5</v>
      </c>
      <c r="D4" s="22"/>
      <c r="E4" s="7" t="s">
        <v>51</v>
      </c>
    </row>
    <row r="5" spans="1:19" ht="33.75" customHeight="1" x14ac:dyDescent="0.25">
      <c r="A5" s="2" t="s">
        <v>57</v>
      </c>
      <c r="B5" s="3">
        <f>IF(C10="x", VLOOKUP(B10, M6:S22, 7, FALSE), VLOOKUP(B10, M6:S22, 6, FALSE))</f>
        <v>3</v>
      </c>
      <c r="D5" s="22"/>
      <c r="E5" s="7" t="s">
        <v>52</v>
      </c>
      <c r="I5" s="2" t="s">
        <v>15</v>
      </c>
      <c r="J5" s="2" t="s">
        <v>11</v>
      </c>
      <c r="M5" s="2" t="s">
        <v>15</v>
      </c>
      <c r="N5" s="6" t="s">
        <v>24</v>
      </c>
      <c r="O5" s="6" t="s">
        <v>25</v>
      </c>
      <c r="P5" s="6" t="s">
        <v>26</v>
      </c>
      <c r="Q5" s="6" t="s">
        <v>27</v>
      </c>
      <c r="R5" s="6" t="s">
        <v>54</v>
      </c>
      <c r="S5" s="6" t="s">
        <v>56</v>
      </c>
    </row>
    <row r="6" spans="1:19" ht="15.75" thickBot="1" x14ac:dyDescent="0.3">
      <c r="B6" s="16"/>
      <c r="C6" s="5"/>
      <c r="D6" s="22"/>
      <c r="E6" s="7" t="s">
        <v>53</v>
      </c>
      <c r="I6" s="2">
        <v>12</v>
      </c>
      <c r="J6" s="20">
        <v>0.03</v>
      </c>
      <c r="K6" s="20"/>
      <c r="M6" s="2">
        <v>18</v>
      </c>
      <c r="N6" s="2">
        <v>4.3099999999999996</v>
      </c>
      <c r="O6" s="2">
        <v>724</v>
      </c>
      <c r="P6" s="2">
        <v>0.49</v>
      </c>
      <c r="Q6" s="2">
        <v>68.599999999999994</v>
      </c>
      <c r="R6" s="3">
        <v>2.5</v>
      </c>
      <c r="S6" s="3">
        <v>2.5</v>
      </c>
    </row>
    <row r="7" spans="1:19" x14ac:dyDescent="0.25">
      <c r="E7" s="9" t="s">
        <v>12</v>
      </c>
      <c r="F7" s="1">
        <f>B18+C18*D18-D14</f>
        <v>5.5904166666666661</v>
      </c>
      <c r="G7" s="10" t="s">
        <v>16</v>
      </c>
      <c r="I7" s="2">
        <v>15</v>
      </c>
      <c r="J7" s="20">
        <v>0.04</v>
      </c>
      <c r="K7" s="20"/>
      <c r="M7" s="2">
        <v>21</v>
      </c>
      <c r="N7" s="2">
        <v>4.45</v>
      </c>
      <c r="O7" s="2">
        <v>734</v>
      </c>
      <c r="P7" s="2">
        <v>0.49</v>
      </c>
      <c r="Q7" s="2">
        <v>68.599999999999994</v>
      </c>
      <c r="R7" s="3">
        <v>2.75</v>
      </c>
      <c r="S7" s="3">
        <v>2.75</v>
      </c>
    </row>
    <row r="8" spans="1:19" ht="15.75" thickBot="1" x14ac:dyDescent="0.3">
      <c r="E8" s="11" t="s">
        <v>13</v>
      </c>
      <c r="F8" s="12">
        <f>B19+C19*D19</f>
        <v>883.05833333333339</v>
      </c>
      <c r="G8" s="13" t="s">
        <v>17</v>
      </c>
      <c r="I8" s="2">
        <v>18</v>
      </c>
      <c r="J8" s="20">
        <v>0.05</v>
      </c>
      <c r="K8" s="20"/>
      <c r="M8" s="2">
        <v>24</v>
      </c>
      <c r="N8" s="2">
        <v>4.59</v>
      </c>
      <c r="O8" s="2">
        <v>743</v>
      </c>
      <c r="P8" s="2">
        <v>0.49</v>
      </c>
      <c r="Q8" s="2">
        <v>68.599999999999994</v>
      </c>
      <c r="R8" s="3">
        <v>3</v>
      </c>
      <c r="S8" s="3">
        <v>3</v>
      </c>
    </row>
    <row r="9" spans="1:19" ht="30" x14ac:dyDescent="0.25">
      <c r="A9" s="14" t="s">
        <v>3</v>
      </c>
      <c r="B9" s="15" t="s">
        <v>14</v>
      </c>
      <c r="C9" s="23" t="s">
        <v>22</v>
      </c>
      <c r="D9" s="15" t="s">
        <v>11</v>
      </c>
      <c r="I9" s="2">
        <v>21</v>
      </c>
      <c r="J9" s="20">
        <v>7.0000000000000007E-2</v>
      </c>
      <c r="K9" s="20"/>
      <c r="M9" s="2">
        <v>27</v>
      </c>
      <c r="N9" s="2">
        <v>4.7300000000000004</v>
      </c>
      <c r="O9" s="2">
        <v>876</v>
      </c>
      <c r="P9" s="2">
        <v>0.49</v>
      </c>
      <c r="Q9" s="2">
        <v>68.599999999999994</v>
      </c>
      <c r="R9" s="3">
        <v>3.25</v>
      </c>
      <c r="S9" s="3">
        <v>3.25</v>
      </c>
    </row>
    <row r="10" spans="1:19" x14ac:dyDescent="0.25">
      <c r="A10" s="2" t="s">
        <v>18</v>
      </c>
      <c r="B10" s="21">
        <v>24</v>
      </c>
      <c r="C10" s="21"/>
      <c r="D10" s="3" t="s">
        <v>59</v>
      </c>
      <c r="E10" s="4" t="str">
        <f>IF(B10&gt;60, "*Exceeds Maximum Pipe Size*", " ")</f>
        <v xml:space="preserve"> </v>
      </c>
      <c r="I10" s="2">
        <v>24</v>
      </c>
      <c r="J10" s="20">
        <v>0.09</v>
      </c>
      <c r="K10" s="20"/>
      <c r="M10" s="2">
        <v>30</v>
      </c>
      <c r="N10" s="2">
        <v>4.87</v>
      </c>
      <c r="O10" s="2">
        <v>796</v>
      </c>
      <c r="P10" s="2">
        <v>0.49</v>
      </c>
      <c r="Q10" s="2">
        <v>68.599999999999994</v>
      </c>
      <c r="R10" s="3">
        <v>3.5</v>
      </c>
      <c r="S10" s="3">
        <v>3.5</v>
      </c>
    </row>
    <row r="11" spans="1:19" x14ac:dyDescent="0.25">
      <c r="A11" s="2" t="s">
        <v>19</v>
      </c>
      <c r="B11" s="21">
        <v>0</v>
      </c>
      <c r="C11" s="21"/>
      <c r="D11" s="3">
        <f>IF(B11=0, 0, (IF(C11="x", VLOOKUP(B11, $I$19:$J$24, 2,FALSE), VLOOKUP(B11, $I$6:$J$18, 2, FALSE))))</f>
        <v>0</v>
      </c>
      <c r="E11" s="4" t="str">
        <f t="shared" ref="E11:E13" si="0">IF(B11&gt;60, "*Exceeds Maximum Pipe Size*", " ")</f>
        <v xml:space="preserve"> </v>
      </c>
      <c r="I11" s="2">
        <v>27</v>
      </c>
      <c r="J11" s="20">
        <v>0.11</v>
      </c>
      <c r="K11" s="20"/>
      <c r="M11" s="2">
        <v>33</v>
      </c>
      <c r="N11" s="2">
        <v>6.33</v>
      </c>
      <c r="O11" s="2">
        <v>1016</v>
      </c>
      <c r="P11" s="2">
        <v>0.55000000000000004</v>
      </c>
      <c r="Q11" s="2">
        <v>78.8</v>
      </c>
      <c r="R11" s="3">
        <v>3.75</v>
      </c>
      <c r="S11" s="3">
        <v>3.75</v>
      </c>
    </row>
    <row r="12" spans="1:19" x14ac:dyDescent="0.25">
      <c r="A12" s="2" t="s">
        <v>20</v>
      </c>
      <c r="B12" s="21">
        <v>0</v>
      </c>
      <c r="C12" s="21"/>
      <c r="D12" s="3">
        <f>IF(B12=0, 0, (IF(C12="x", VLOOKUP(B12, $I$19:$J$24, 2,FALSE), VLOOKUP(B12, $I$6:$J$18, 2, FALSE))))</f>
        <v>0</v>
      </c>
      <c r="E12" s="4" t="str">
        <f t="shared" si="0"/>
        <v xml:space="preserve"> </v>
      </c>
      <c r="I12" s="2">
        <v>30</v>
      </c>
      <c r="J12" s="20">
        <v>0.14000000000000001</v>
      </c>
      <c r="K12" s="20"/>
      <c r="M12" s="2">
        <v>36</v>
      </c>
      <c r="N12" s="2">
        <v>6.49</v>
      </c>
      <c r="O12" s="2">
        <v>1028</v>
      </c>
      <c r="P12" s="2">
        <v>0.55000000000000004</v>
      </c>
      <c r="Q12" s="2">
        <v>78.8</v>
      </c>
      <c r="R12" s="3">
        <v>4</v>
      </c>
      <c r="S12" s="3">
        <v>4</v>
      </c>
    </row>
    <row r="13" spans="1:19" x14ac:dyDescent="0.25">
      <c r="A13" s="2" t="s">
        <v>21</v>
      </c>
      <c r="B13" s="21">
        <v>0</v>
      </c>
      <c r="C13" s="21"/>
      <c r="D13" s="3">
        <f>IF(B13=0, 0, (IF(C13="x", VLOOKUP(B13, $I$19:$J$24, 2,FALSE), VLOOKUP(B13, $I$6:$J$18, 2, FALSE))))</f>
        <v>0</v>
      </c>
      <c r="E13" s="4" t="str">
        <f t="shared" si="0"/>
        <v xml:space="preserve"> </v>
      </c>
      <c r="I13" s="2">
        <v>33</v>
      </c>
      <c r="J13" s="20">
        <v>0.17</v>
      </c>
      <c r="K13" s="20"/>
      <c r="M13" s="2">
        <v>42</v>
      </c>
      <c r="N13" s="2">
        <v>6.8</v>
      </c>
      <c r="O13" s="2">
        <v>1087</v>
      </c>
      <c r="P13" s="2">
        <v>0.55000000000000004</v>
      </c>
      <c r="Q13" s="2">
        <v>78.8</v>
      </c>
      <c r="R13" s="3">
        <v>4.5</v>
      </c>
      <c r="S13" s="3">
        <v>4.5</v>
      </c>
    </row>
    <row r="14" spans="1:19" x14ac:dyDescent="0.25">
      <c r="A14" s="17" t="s">
        <v>4</v>
      </c>
      <c r="B14" s="3"/>
      <c r="D14" s="18">
        <f>SUM(D10:D13)</f>
        <v>0</v>
      </c>
      <c r="I14" s="2">
        <v>36</v>
      </c>
      <c r="J14" s="20">
        <v>0.2</v>
      </c>
      <c r="K14" s="20"/>
      <c r="M14" s="2">
        <v>48</v>
      </c>
      <c r="N14" s="2">
        <v>8.1999999999999993</v>
      </c>
      <c r="O14" s="2">
        <v>1279</v>
      </c>
      <c r="P14" s="2">
        <v>0.6</v>
      </c>
      <c r="Q14" s="2">
        <v>89.7</v>
      </c>
      <c r="R14" s="3">
        <v>5</v>
      </c>
      <c r="S14" s="3">
        <v>5</v>
      </c>
    </row>
    <row r="15" spans="1:19" x14ac:dyDescent="0.25">
      <c r="I15" s="2">
        <v>42</v>
      </c>
      <c r="J15" s="20">
        <v>0.26</v>
      </c>
      <c r="K15" s="20"/>
      <c r="M15" s="2">
        <v>54</v>
      </c>
      <c r="N15" s="2">
        <v>8.5399999999999991</v>
      </c>
      <c r="O15" s="2">
        <v>1314</v>
      </c>
      <c r="P15" s="2">
        <v>0.6</v>
      </c>
      <c r="Q15" s="2">
        <v>89.7</v>
      </c>
      <c r="R15" s="3">
        <v>5.5</v>
      </c>
      <c r="S15" s="3">
        <v>5.5</v>
      </c>
    </row>
    <row r="16" spans="1:19" x14ac:dyDescent="0.25">
      <c r="I16" s="2">
        <v>48</v>
      </c>
      <c r="J16" s="20">
        <v>0.34</v>
      </c>
      <c r="K16" s="20"/>
      <c r="M16" s="2">
        <v>60</v>
      </c>
      <c r="N16" s="2">
        <v>8.8800000000000008</v>
      </c>
      <c r="O16" s="2">
        <v>1374</v>
      </c>
      <c r="P16" s="2">
        <v>0.6</v>
      </c>
      <c r="Q16" s="2">
        <v>89.7</v>
      </c>
      <c r="R16" s="3">
        <v>6</v>
      </c>
      <c r="S16" s="3">
        <v>6</v>
      </c>
    </row>
    <row r="17" spans="1:19" x14ac:dyDescent="0.25">
      <c r="A17" s="19" t="s">
        <v>5</v>
      </c>
      <c r="B17" s="15" t="s">
        <v>8</v>
      </c>
      <c r="C17" s="15" t="s">
        <v>9</v>
      </c>
      <c r="D17" s="15" t="s">
        <v>10</v>
      </c>
      <c r="I17" s="2">
        <v>54</v>
      </c>
      <c r="J17" s="20">
        <v>0.43</v>
      </c>
      <c r="K17" s="20"/>
      <c r="L17" s="2" t="s">
        <v>23</v>
      </c>
      <c r="M17" s="2">
        <v>24</v>
      </c>
      <c r="N17" s="2">
        <v>4.3499999999999996</v>
      </c>
      <c r="O17" s="2">
        <v>727</v>
      </c>
      <c r="P17" s="2">
        <v>0.49</v>
      </c>
      <c r="Q17" s="2">
        <v>68.599999999999994</v>
      </c>
      <c r="R17" s="3">
        <v>3</v>
      </c>
      <c r="S17" s="3">
        <v>3</v>
      </c>
    </row>
    <row r="18" spans="1:19" x14ac:dyDescent="0.25">
      <c r="A18" s="2" t="s">
        <v>6</v>
      </c>
      <c r="B18" s="8">
        <f>IF($C$10="x", VLOOKUP($B$10, $M$17:$Q$22, 2, FALSE), VLOOKUP($B$10, $M$6:$Q$16, 2, FALSE))</f>
        <v>4.59</v>
      </c>
      <c r="C18" s="8">
        <f>IF($C$10="x", VLOOKUP($B$10, $M$17:$Q$22, 4, FALSE), VLOOKUP($B$10, $M$6:$Q$16, 4, FALSE))</f>
        <v>0.49</v>
      </c>
      <c r="D18" s="8">
        <f>B2-B3-8.5/12-B10/12-B5/12</f>
        <v>2.041666666666667</v>
      </c>
      <c r="I18" s="2">
        <v>60</v>
      </c>
      <c r="J18" s="20">
        <v>0.52</v>
      </c>
      <c r="K18" s="20"/>
      <c r="L18" s="2" t="s">
        <v>23</v>
      </c>
      <c r="M18" s="2">
        <v>30</v>
      </c>
      <c r="N18" s="2">
        <v>5.84</v>
      </c>
      <c r="O18" s="2">
        <v>944</v>
      </c>
      <c r="P18" s="2">
        <v>0.55000000000000004</v>
      </c>
      <c r="Q18" s="2">
        <v>78.8</v>
      </c>
      <c r="R18" s="3">
        <v>3.5</v>
      </c>
      <c r="S18" s="3">
        <v>3.5</v>
      </c>
    </row>
    <row r="19" spans="1:19" x14ac:dyDescent="0.25">
      <c r="A19" s="2" t="s">
        <v>7</v>
      </c>
      <c r="B19" s="24">
        <f>IF($C$10="x", VLOOKUP($B$10, $M$17:$Q$22, 3, FALSE), VLOOKUP($B$10, $M$6:$Q$16, 3, FALSE))</f>
        <v>743</v>
      </c>
      <c r="C19" s="8">
        <f>IF($C$10="x", VLOOKUP($B$10, $M$17:$Q$22, 5, FALSE), VLOOKUP($B$10, $M$6:$Q$16, 5, FALSE))</f>
        <v>68.599999999999994</v>
      </c>
      <c r="D19" s="8">
        <f>D18</f>
        <v>2.041666666666667</v>
      </c>
      <c r="H19" s="2" t="s">
        <v>23</v>
      </c>
      <c r="I19" s="2">
        <v>24</v>
      </c>
      <c r="J19" s="20">
        <v>0.09</v>
      </c>
      <c r="K19" s="20"/>
      <c r="L19" s="2" t="s">
        <v>23</v>
      </c>
      <c r="M19" s="2">
        <v>36</v>
      </c>
      <c r="N19" s="2">
        <v>6.06</v>
      </c>
      <c r="O19" s="2">
        <v>994</v>
      </c>
      <c r="P19" s="2">
        <v>0.55000000000000004</v>
      </c>
      <c r="Q19" s="2">
        <v>78.8</v>
      </c>
      <c r="R19" s="3">
        <v>4</v>
      </c>
      <c r="S19" s="3">
        <v>4</v>
      </c>
    </row>
    <row r="20" spans="1:19" x14ac:dyDescent="0.25">
      <c r="H20" s="2" t="s">
        <v>23</v>
      </c>
      <c r="I20" s="2">
        <v>30</v>
      </c>
      <c r="J20" s="20">
        <v>0.14000000000000001</v>
      </c>
      <c r="K20" s="20"/>
      <c r="L20" s="2" t="s">
        <v>23</v>
      </c>
      <c r="M20" s="2">
        <v>42</v>
      </c>
      <c r="N20" s="2">
        <v>7.28</v>
      </c>
      <c r="O20" s="2">
        <v>1135</v>
      </c>
      <c r="P20" s="2">
        <v>0.6</v>
      </c>
      <c r="Q20" s="2">
        <v>89.7</v>
      </c>
      <c r="R20" s="3">
        <v>4.5</v>
      </c>
      <c r="S20" s="3">
        <v>4.5</v>
      </c>
    </row>
    <row r="21" spans="1:19" x14ac:dyDescent="0.25">
      <c r="H21" s="2" t="s">
        <v>23</v>
      </c>
      <c r="I21" s="2">
        <v>36</v>
      </c>
      <c r="J21" s="20">
        <v>0.19</v>
      </c>
      <c r="K21" s="20"/>
      <c r="L21" s="2" t="s">
        <v>23</v>
      </c>
      <c r="M21" s="2">
        <v>48</v>
      </c>
      <c r="N21" s="2">
        <v>7.62</v>
      </c>
      <c r="O21" s="2">
        <v>1189</v>
      </c>
      <c r="P21" s="2">
        <v>0.6</v>
      </c>
      <c r="Q21" s="2">
        <v>89.7</v>
      </c>
      <c r="R21" s="3">
        <v>5</v>
      </c>
      <c r="S21" s="3">
        <v>5</v>
      </c>
    </row>
    <row r="22" spans="1:19" x14ac:dyDescent="0.25">
      <c r="H22" s="2" t="s">
        <v>23</v>
      </c>
      <c r="I22" s="2">
        <v>42</v>
      </c>
      <c r="J22" s="20">
        <v>0.25</v>
      </c>
      <c r="K22" s="20"/>
      <c r="L22" s="2" t="s">
        <v>23</v>
      </c>
      <c r="M22" s="2">
        <v>54</v>
      </c>
      <c r="N22" s="2">
        <v>7.8</v>
      </c>
      <c r="O22" s="2">
        <v>1214</v>
      </c>
      <c r="P22" s="2">
        <v>0.6</v>
      </c>
      <c r="Q22" s="2">
        <v>89.7</v>
      </c>
      <c r="R22" s="3">
        <v>5.5</v>
      </c>
      <c r="S22" s="3">
        <v>5.5</v>
      </c>
    </row>
    <row r="23" spans="1:19" x14ac:dyDescent="0.25">
      <c r="H23" s="2" t="s">
        <v>23</v>
      </c>
      <c r="I23" s="2">
        <v>48</v>
      </c>
      <c r="J23" s="20">
        <v>0.32</v>
      </c>
      <c r="K23" s="20"/>
    </row>
    <row r="24" spans="1:19" x14ac:dyDescent="0.25">
      <c r="H24" s="2" t="s">
        <v>23</v>
      </c>
      <c r="I24" s="2">
        <v>54</v>
      </c>
      <c r="J24" s="20">
        <v>0.4</v>
      </c>
      <c r="K24" s="20"/>
    </row>
  </sheetData>
  <sheetProtection password="CC60" sheet="1" objects="1" scenarios="1"/>
  <protectedRanges>
    <protectedRange sqref="B10:C13" name="Range2"/>
    <protectedRange sqref="B2:B3" name="Range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G1"/>
    </sheetView>
  </sheetViews>
  <sheetFormatPr defaultRowHeight="15" x14ac:dyDescent="0.25"/>
  <cols>
    <col min="1" max="1" width="17.85546875" style="2" bestFit="1" customWidth="1"/>
    <col min="2" max="2" width="8.85546875" style="2" bestFit="1" customWidth="1"/>
    <col min="3" max="3" width="15.7109375" style="2" customWidth="1"/>
    <col min="4" max="4" width="10" style="2" bestFit="1" customWidth="1"/>
    <col min="5" max="5" width="9.85546875" style="2" customWidth="1"/>
    <col min="6" max="6" width="9.5703125" style="2" bestFit="1" customWidth="1"/>
    <col min="7" max="8" width="9.140625" style="2" customWidth="1"/>
    <col min="9" max="9" width="10.28515625" style="2" hidden="1" customWidth="1"/>
    <col min="10" max="11" width="10" style="2" hidden="1" customWidth="1"/>
    <col min="12" max="17" width="9.140625" style="2" hidden="1" customWidth="1"/>
    <col min="18" max="18" width="11.140625" style="2" customWidth="1"/>
    <col min="19" max="19" width="14" style="2" customWidth="1"/>
    <col min="20" max="16384" width="9.140625" style="2"/>
  </cols>
  <sheetData>
    <row r="1" spans="1:18" ht="18.75" x14ac:dyDescent="0.3">
      <c r="A1" s="29" t="s">
        <v>38</v>
      </c>
      <c r="B1" s="29"/>
      <c r="C1" s="29"/>
      <c r="D1" s="29"/>
      <c r="E1" s="29"/>
      <c r="F1" s="29"/>
      <c r="G1" s="29"/>
    </row>
    <row r="2" spans="1:18" x14ac:dyDescent="0.25">
      <c r="A2" s="2" t="s">
        <v>0</v>
      </c>
      <c r="B2" s="21">
        <v>10</v>
      </c>
      <c r="D2" s="5" t="s">
        <v>29</v>
      </c>
    </row>
    <row r="3" spans="1:18" x14ac:dyDescent="0.25">
      <c r="A3" s="2" t="s">
        <v>1</v>
      </c>
      <c r="B3" s="21">
        <v>5</v>
      </c>
    </row>
    <row r="4" spans="1:18" x14ac:dyDescent="0.25">
      <c r="A4" s="2" t="s">
        <v>2</v>
      </c>
      <c r="B4" s="3">
        <f>B2-B3</f>
        <v>5</v>
      </c>
    </row>
    <row r="5" spans="1:18" ht="30" customHeight="1" x14ac:dyDescent="0.25">
      <c r="A5" s="2" t="s">
        <v>57</v>
      </c>
      <c r="B5" s="3">
        <f>VLOOKUP(B10, L6:R8, 6, FALSE)</f>
        <v>2.75</v>
      </c>
      <c r="I5" s="2" t="s">
        <v>15</v>
      </c>
      <c r="J5" s="2" t="s">
        <v>11</v>
      </c>
      <c r="L5" s="2" t="s">
        <v>15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54</v>
      </c>
      <c r="R5" s="6"/>
    </row>
    <row r="6" spans="1:18" ht="15.75" thickBot="1" x14ac:dyDescent="0.3">
      <c r="B6" s="16"/>
      <c r="C6" s="5"/>
      <c r="D6" s="22"/>
      <c r="E6" s="7" t="s">
        <v>50</v>
      </c>
      <c r="I6" s="2">
        <v>12</v>
      </c>
      <c r="J6" s="20">
        <v>0.03</v>
      </c>
      <c r="K6" s="20"/>
      <c r="L6" s="2">
        <v>15</v>
      </c>
      <c r="M6" s="2">
        <v>2.88</v>
      </c>
      <c r="N6" s="2">
        <v>500</v>
      </c>
      <c r="O6" s="2">
        <v>0.35</v>
      </c>
      <c r="P6" s="2">
        <v>43.9</v>
      </c>
      <c r="Q6" s="3">
        <v>2.25</v>
      </c>
      <c r="R6" s="3"/>
    </row>
    <row r="7" spans="1:18" x14ac:dyDescent="0.25">
      <c r="E7" s="9" t="s">
        <v>12</v>
      </c>
      <c r="F7" s="1">
        <f>B18+C18*D18-C14</f>
        <v>3.8818750000000004</v>
      </c>
      <c r="G7" s="10" t="s">
        <v>16</v>
      </c>
      <c r="I7" s="2">
        <v>15</v>
      </c>
      <c r="J7" s="20">
        <v>0.04</v>
      </c>
      <c r="K7" s="20"/>
      <c r="L7" s="2">
        <v>18</v>
      </c>
      <c r="M7" s="2">
        <v>2.96</v>
      </c>
      <c r="N7" s="2">
        <v>512</v>
      </c>
      <c r="O7" s="2">
        <v>0.35</v>
      </c>
      <c r="P7" s="2">
        <v>43.9</v>
      </c>
      <c r="Q7" s="3">
        <v>2.5</v>
      </c>
      <c r="R7" s="3"/>
    </row>
    <row r="8" spans="1:18" ht="15.75" thickBot="1" x14ac:dyDescent="0.3">
      <c r="E8" s="11" t="s">
        <v>13</v>
      </c>
      <c r="F8" s="12">
        <f>B19+C19*D19</f>
        <v>615.54375000000005</v>
      </c>
      <c r="G8" s="13" t="s">
        <v>17</v>
      </c>
      <c r="I8" s="2">
        <v>18</v>
      </c>
      <c r="J8" s="20">
        <v>0.05</v>
      </c>
      <c r="K8" s="20"/>
      <c r="L8" s="2">
        <v>24</v>
      </c>
      <c r="M8" s="2">
        <v>3.16</v>
      </c>
      <c r="N8" s="2">
        <v>525</v>
      </c>
      <c r="O8" s="2">
        <v>0.35</v>
      </c>
      <c r="P8" s="2">
        <v>43.9</v>
      </c>
      <c r="Q8" s="3">
        <v>2.75</v>
      </c>
      <c r="R8" s="3"/>
    </row>
    <row r="9" spans="1:18" x14ac:dyDescent="0.25">
      <c r="A9" s="14" t="s">
        <v>3</v>
      </c>
      <c r="B9" s="15" t="s">
        <v>14</v>
      </c>
      <c r="C9" s="15" t="s">
        <v>11</v>
      </c>
      <c r="I9" s="2">
        <v>21</v>
      </c>
      <c r="J9" s="20">
        <v>7.0000000000000007E-2</v>
      </c>
      <c r="K9" s="20"/>
    </row>
    <row r="10" spans="1:18" x14ac:dyDescent="0.25">
      <c r="A10" s="2" t="s">
        <v>18</v>
      </c>
      <c r="B10" s="21">
        <v>24</v>
      </c>
      <c r="C10" s="3" t="s">
        <v>59</v>
      </c>
      <c r="D10" s="4" t="str">
        <f>IF(B10&gt;24, "*Exceeds Maximum Pipe Size*", " ")</f>
        <v xml:space="preserve"> </v>
      </c>
      <c r="I10" s="2">
        <v>24</v>
      </c>
      <c r="J10" s="20">
        <v>0.09</v>
      </c>
      <c r="K10" s="20"/>
    </row>
    <row r="11" spans="1:18" x14ac:dyDescent="0.25">
      <c r="A11" s="2" t="s">
        <v>19</v>
      </c>
      <c r="B11" s="21">
        <v>0</v>
      </c>
      <c r="C11" s="3">
        <f t="shared" ref="C11:C13" si="0">IF(B11=0,0,VLOOKUP(B11,$I$6:$J$10,2,FALSE))</f>
        <v>0</v>
      </c>
      <c r="D11" s="4" t="str">
        <f>IF(B11&gt;24, "*Exceeds Maximum Pipe Size*", " ")</f>
        <v xml:space="preserve"> </v>
      </c>
      <c r="J11" s="20"/>
      <c r="K11" s="20"/>
    </row>
    <row r="12" spans="1:18" x14ac:dyDescent="0.25">
      <c r="A12" s="2" t="s">
        <v>20</v>
      </c>
      <c r="B12" s="21">
        <v>0</v>
      </c>
      <c r="C12" s="3">
        <f t="shared" si="0"/>
        <v>0</v>
      </c>
      <c r="D12" s="4" t="str">
        <f>IF(B12&gt;24, "*Exceeds Maximum Pipe Size*", " ")</f>
        <v xml:space="preserve"> </v>
      </c>
      <c r="J12" s="20"/>
      <c r="K12" s="20"/>
    </row>
    <row r="13" spans="1:18" x14ac:dyDescent="0.25">
      <c r="A13" s="2" t="s">
        <v>21</v>
      </c>
      <c r="B13" s="21">
        <v>0</v>
      </c>
      <c r="C13" s="3">
        <f t="shared" si="0"/>
        <v>0</v>
      </c>
      <c r="D13" s="4" t="str">
        <f>IF(B13&gt;24, "*Exceeds Maximum Pipe Size*", " ")</f>
        <v xml:space="preserve"> </v>
      </c>
      <c r="J13" s="20"/>
      <c r="K13" s="20"/>
    </row>
    <row r="14" spans="1:18" x14ac:dyDescent="0.25">
      <c r="A14" s="17" t="s">
        <v>4</v>
      </c>
      <c r="B14" s="3"/>
      <c r="C14" s="18">
        <f>SUM(C10:C13)</f>
        <v>0</v>
      </c>
      <c r="J14" s="20"/>
      <c r="K14" s="20"/>
    </row>
    <row r="15" spans="1:18" x14ac:dyDescent="0.25">
      <c r="J15" s="20"/>
      <c r="K15" s="20"/>
    </row>
    <row r="16" spans="1:18" x14ac:dyDescent="0.25">
      <c r="J16" s="20"/>
      <c r="K16" s="20"/>
    </row>
    <row r="17" spans="1:11" x14ac:dyDescent="0.25">
      <c r="A17" s="19" t="s">
        <v>5</v>
      </c>
      <c r="B17" s="15" t="s">
        <v>8</v>
      </c>
      <c r="C17" s="15" t="s">
        <v>9</v>
      </c>
      <c r="D17" s="15" t="s">
        <v>10</v>
      </c>
      <c r="J17" s="20"/>
      <c r="K17" s="20"/>
    </row>
    <row r="18" spans="1:11" x14ac:dyDescent="0.25">
      <c r="A18" s="2" t="s">
        <v>6</v>
      </c>
      <c r="B18" s="8">
        <f>VLOOKUP($B$10, $L$6:$P$8, 2, FALSE)</f>
        <v>3.16</v>
      </c>
      <c r="C18" s="8">
        <f>VLOOKUP($B$10, $L$6:$P$8, 4, FALSE)</f>
        <v>0.35</v>
      </c>
      <c r="D18" s="8">
        <f>B2-B3-8.5/12-B10/12-B5/12</f>
        <v>2.0625000000000004</v>
      </c>
      <c r="J18" s="20"/>
      <c r="K18" s="20"/>
    </row>
    <row r="19" spans="1:11" x14ac:dyDescent="0.25">
      <c r="A19" s="2" t="s">
        <v>7</v>
      </c>
      <c r="B19" s="24">
        <f>VLOOKUP($B$10, $L$6:$P$8, 3, FALSE)</f>
        <v>525</v>
      </c>
      <c r="C19" s="25">
        <f>VLOOKUP($B$10, $L$6:$P$8, 5, FALSE)</f>
        <v>43.9</v>
      </c>
      <c r="D19" s="8">
        <f>D18</f>
        <v>2.0625000000000004</v>
      </c>
      <c r="J19" s="20"/>
      <c r="K19" s="20"/>
    </row>
    <row r="20" spans="1:11" x14ac:dyDescent="0.25">
      <c r="J20" s="20"/>
      <c r="K20" s="20"/>
    </row>
    <row r="21" spans="1:11" x14ac:dyDescent="0.25">
      <c r="J21" s="20"/>
      <c r="K21" s="20"/>
    </row>
    <row r="22" spans="1:11" x14ac:dyDescent="0.25">
      <c r="J22" s="20"/>
      <c r="K22" s="20"/>
    </row>
    <row r="23" spans="1:11" x14ac:dyDescent="0.25">
      <c r="J23" s="20"/>
      <c r="K23" s="20"/>
    </row>
    <row r="24" spans="1:11" x14ac:dyDescent="0.25">
      <c r="J24" s="20"/>
      <c r="K24" s="20"/>
    </row>
  </sheetData>
  <sheetProtection password="CC60" sheet="1" objects="1" scenarios="1"/>
  <protectedRanges>
    <protectedRange sqref="B2:B3" name="Range2"/>
    <protectedRange sqref="B10:B13" name="Range1"/>
  </protectedRanges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JB Type 1</vt:lpstr>
      <vt:lpstr>JB Type 2</vt:lpstr>
      <vt:lpstr>SF10x</vt:lpstr>
      <vt:lpstr>SF6x</vt:lpstr>
      <vt:lpstr>B1-Inlet</vt:lpstr>
      <vt:lpstr>2x2 Catch Basin</vt:lpstr>
      <vt:lpstr>SF10x SUMP</vt:lpstr>
      <vt:lpstr>SF6x SUMP</vt:lpstr>
    </vt:vector>
  </TitlesOfParts>
  <Company>City of Sioux Falls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enbcl</dc:creator>
  <cp:lastModifiedBy>MSEES</cp:lastModifiedBy>
  <dcterms:created xsi:type="dcterms:W3CDTF">2009-02-19T21:09:38Z</dcterms:created>
  <dcterms:modified xsi:type="dcterms:W3CDTF">2012-02-14T20:53:41Z</dcterms:modified>
</cp:coreProperties>
</file>